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codeName="ЭтаКнига" defaultThemeVersion="124226"/>
  <bookViews>
    <workbookView xWindow="240" yWindow="1125" windowWidth="14805" windowHeight="6990" tabRatio="935" activeTab="4"/>
  </bookViews>
  <sheets>
    <sheet name="Д2" sheetId="14" r:id="rId1"/>
    <sheet name="Д3" sheetId="15" r:id="rId2"/>
    <sheet name="Д4" sheetId="16" r:id="rId3"/>
    <sheet name="Д5" sheetId="17" r:id="rId4"/>
    <sheet name="Д6" sheetId="18" r:id="rId5"/>
    <sheet name="Д7" sheetId="20" r:id="rId6"/>
    <sheet name="Д8" sheetId="21" r:id="rId7"/>
    <sheet name="Д9" sheetId="22" r:id="rId8"/>
    <sheet name="Д10" sheetId="23" r:id="rId9"/>
    <sheet name="Лист6" sheetId="19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8" hidden="1">Д10!$A$1:$H$47</definedName>
    <definedName name="A1048999">#REF!</definedName>
    <definedName name="A1049000">#REF!</definedName>
    <definedName name="A1049999">#REF!</definedName>
    <definedName name="A1050000">#REF!</definedName>
    <definedName name="A1060000">#REF!</definedName>
    <definedName name="A1999999">#REF!</definedName>
    <definedName name="A2000021">#REF!</definedName>
    <definedName name="A6000000">#REF!</definedName>
    <definedName name="LastItem">[1]Лист1!$A$1</definedName>
    <definedName name="ShowFil">[1]!ShowFil</definedName>
    <definedName name="xff1">#REF!</definedName>
    <definedName name="xgg">#REF!</definedName>
    <definedName name="xgg1">#REF!</definedName>
    <definedName name="xxx1">#REF!</definedName>
    <definedName name="zzz1">#REF!</definedName>
    <definedName name="АвтоподборВС">#REF!</definedName>
    <definedName name="Встав">[2]Коригування!$W$9:$W$2131,[2]Коригування!$AF$9:$AH$2131,[2]Коригування!$AM$9:$AM$2131,[2]Коригування!$AO$9:$AO$2131,[2]Коригування!$AQ$9:$AQ$2131,[2]Коригування!$AU$9:$AU$2131,[2]Коригування!$AW$9:$AW$2131+[2]Коригування!$AY$9:$BD$2131,[2]Коригування!$BG$9:$BP$2131,[2]Коригування!$BY$9:$BY$2131,[2]Коригування!$CF$9:$CG$2131,[2]Коригування!$CJ$9:$CO$2131,[2]Коригування!$CX$9:$CY$2131,[2]Коригування!$DB$9:$DC$2131,[2]Коригування!$DJ$9:$DJ$2131,[2]Коригування!$DL$9:$DM$2131,[2]Коригування!$DO$9:$DO$2131,[2]Коригування!$DT$9:$DT$2131</definedName>
    <definedName name="_xlnm.Print_Titles" localSheetId="8">Д10!$8:$8</definedName>
    <definedName name="_xlnm.Print_Titles" localSheetId="1">Д3!$8:$8</definedName>
    <definedName name="_xlnm.Print_Titles" localSheetId="7">Д9!$7:$7</definedName>
    <definedName name="ккк">#REF!</definedName>
    <definedName name="Мой_лист">MID(CELL("имяфайла",[3]База!$E$1),SEARCH("[",CELL("имяфайла",[3]База!$E$1)),256)&amp;"!"</definedName>
    <definedName name="_xlnm.Print_Area" localSheetId="0">Д2!$A$1:$R$43</definedName>
    <definedName name="_xlnm.Print_Area" localSheetId="1">Д3!$A$1:$AB$53</definedName>
    <definedName name="_xlnm.Print_Area" localSheetId="2">Д4!$A$1:$G$60</definedName>
    <definedName name="_xlnm.Print_Area" localSheetId="3">Д5!$A$1:$G$44</definedName>
    <definedName name="_xlnm.Print_Area" localSheetId="4">Д6!$A$1:$H$44</definedName>
    <definedName name="облік">[4]скрыть!$D$4:$D$6</definedName>
    <definedName name="облікГВП">[4]скрыть!$G$4:$G$6</definedName>
    <definedName name="Од">#REF!</definedName>
    <definedName name="Од_Б">#REF!</definedName>
    <definedName name="Од_БI">#REF!</definedName>
    <definedName name="Од_І">#REF!</definedName>
    <definedName name="Од_Н">#REF!</definedName>
    <definedName name="Отсорт_Д_СВ">#REF!</definedName>
    <definedName name="поверхи">[4]скрыть!$B$4:$B$9</definedName>
    <definedName name="ппп">#REF!</definedName>
    <definedName name="РЕГ">#REF!</definedName>
    <definedName name="Регіон">#REF!</definedName>
    <definedName name="рр">#REF!</definedName>
    <definedName name="Список_компах">OFFSET(#REF!,,,COUNTA(#REF!),1)</definedName>
    <definedName name="Тело_СТ">#REF!</definedName>
    <definedName name="Уз">#REF!</definedName>
    <definedName name="Уз_б">#REF!</definedName>
    <definedName name="Уз_і">#REF!</definedName>
    <definedName name="Уз_н">#REF!</definedName>
    <definedName name="Уп">#REF!</definedName>
    <definedName name="Уп_б">#REF!</definedName>
    <definedName name="Уп_і">#REF!</definedName>
    <definedName name="Уп_н">#REF!</definedName>
    <definedName name="УХ">#REF!</definedName>
    <definedName name="ухват">#REF!</definedName>
    <definedName name="філії">[5]Лист1!$C$4:$C$11</definedName>
    <definedName name="чапельник">#REF!</definedName>
    <definedName name="Черта">#REF!</definedName>
  </definedNames>
  <calcPr calcId="125725"/>
</workbook>
</file>

<file path=xl/calcChain.xml><?xml version="1.0" encoding="utf-8"?>
<calcChain xmlns="http://schemas.openxmlformats.org/spreadsheetml/2006/main">
  <c r="P35" i="15"/>
  <c r="P12"/>
  <c r="P43"/>
  <c r="P10"/>
  <c r="P9" s="1"/>
  <c r="H22" i="18"/>
  <c r="G22"/>
  <c r="G9"/>
  <c r="H9"/>
  <c r="G21"/>
  <c r="AB20" i="15"/>
  <c r="X20"/>
  <c r="AB12"/>
  <c r="X12"/>
  <c r="O10" i="16"/>
  <c r="O31" s="1"/>
  <c r="O11"/>
  <c r="O12"/>
  <c r="W12"/>
  <c r="S12"/>
  <c r="K12"/>
  <c r="K14"/>
  <c r="P20" i="15"/>
  <c r="L12"/>
  <c r="L20"/>
  <c r="E50" i="22"/>
  <c r="D50"/>
  <c r="D37"/>
  <c r="D31"/>
  <c r="E31"/>
  <c r="E33"/>
  <c r="D33"/>
  <c r="E37"/>
  <c r="E36"/>
  <c r="D37" i="17"/>
  <c r="E33"/>
  <c r="D33"/>
  <c r="E32"/>
  <c r="D32"/>
  <c r="E31"/>
  <c r="D31"/>
  <c r="E30"/>
  <c r="D30"/>
  <c r="E29"/>
  <c r="D29"/>
  <c r="E27"/>
  <c r="D27"/>
  <c r="E25"/>
  <c r="D25"/>
  <c r="E24"/>
  <c r="D24"/>
  <c r="E23"/>
  <c r="D23"/>
  <c r="E22"/>
  <c r="D22"/>
  <c r="E21"/>
  <c r="D21"/>
  <c r="E19"/>
  <c r="D19"/>
  <c r="E18"/>
  <c r="D18"/>
  <c r="E17"/>
  <c r="D17"/>
  <c r="E15"/>
  <c r="D15"/>
  <c r="E14"/>
  <c r="D14"/>
  <c r="E13"/>
  <c r="D13"/>
  <c r="E11"/>
  <c r="D11"/>
  <c r="E10"/>
  <c r="D10"/>
  <c r="I37"/>
  <c r="E37" s="1"/>
  <c r="H37"/>
  <c r="I36"/>
  <c r="H36"/>
  <c r="I28"/>
  <c r="E28" s="1"/>
  <c r="H28"/>
  <c r="D28" s="1"/>
  <c r="I20"/>
  <c r="E20" s="1"/>
  <c r="H20"/>
  <c r="D20" s="1"/>
  <c r="I16"/>
  <c r="E16" s="1"/>
  <c r="H16"/>
  <c r="D16" s="1"/>
  <c r="I12"/>
  <c r="E12" s="1"/>
  <c r="H12"/>
  <c r="D12" s="1"/>
  <c r="I9"/>
  <c r="I26" s="1"/>
  <c r="I34" s="1"/>
  <c r="I35" s="1"/>
  <c r="H9"/>
  <c r="H26" s="1"/>
  <c r="H34" s="1"/>
  <c r="H35" s="1"/>
  <c r="M38"/>
  <c r="E38" s="1"/>
  <c r="L38"/>
  <c r="D38" s="1"/>
  <c r="M36"/>
  <c r="L36"/>
  <c r="M28"/>
  <c r="L28"/>
  <c r="M20"/>
  <c r="L20"/>
  <c r="M16"/>
  <c r="L16"/>
  <c r="M12"/>
  <c r="L12"/>
  <c r="M9"/>
  <c r="M26" s="1"/>
  <c r="M34" s="1"/>
  <c r="M35" s="1"/>
  <c r="L9"/>
  <c r="L26" s="1"/>
  <c r="L34" s="1"/>
  <c r="L35" s="1"/>
  <c r="Q39"/>
  <c r="E39" s="1"/>
  <c r="P39"/>
  <c r="D39" s="1"/>
  <c r="Q36"/>
  <c r="P36"/>
  <c r="Q28"/>
  <c r="P28"/>
  <c r="Q20"/>
  <c r="P20"/>
  <c r="Q16"/>
  <c r="P16"/>
  <c r="Q12"/>
  <c r="P12"/>
  <c r="Q9"/>
  <c r="Q26" s="1"/>
  <c r="Q34" s="1"/>
  <c r="Q35" s="1"/>
  <c r="P9"/>
  <c r="P26" s="1"/>
  <c r="P34" s="1"/>
  <c r="P35" s="1"/>
  <c r="U40"/>
  <c r="E40" s="1"/>
  <c r="T40"/>
  <c r="D40" s="1"/>
  <c r="U36"/>
  <c r="T36"/>
  <c r="U28"/>
  <c r="T28"/>
  <c r="U20"/>
  <c r="T20"/>
  <c r="U16"/>
  <c r="T16"/>
  <c r="U12"/>
  <c r="T12"/>
  <c r="U9"/>
  <c r="U26" s="1"/>
  <c r="U34" s="1"/>
  <c r="U35" s="1"/>
  <c r="T9"/>
  <c r="T26" s="1"/>
  <c r="T34" s="1"/>
  <c r="T35" s="1"/>
  <c r="E56" i="16"/>
  <c r="D56"/>
  <c r="E55"/>
  <c r="D55"/>
  <c r="E52"/>
  <c r="D52"/>
  <c r="E49"/>
  <c r="D49"/>
  <c r="E48"/>
  <c r="D48"/>
  <c r="E47"/>
  <c r="D47"/>
  <c r="E46"/>
  <c r="D46"/>
  <c r="E45"/>
  <c r="D45"/>
  <c r="E43"/>
  <c r="D43"/>
  <c r="E42"/>
  <c r="D42"/>
  <c r="E38"/>
  <c r="D38"/>
  <c r="E37"/>
  <c r="D37"/>
  <c r="E36"/>
  <c r="D36"/>
  <c r="E35"/>
  <c r="D35"/>
  <c r="E34"/>
  <c r="D34"/>
  <c r="E32"/>
  <c r="D32"/>
  <c r="E30"/>
  <c r="D30"/>
  <c r="E29"/>
  <c r="D29"/>
  <c r="E28"/>
  <c r="D28"/>
  <c r="E27"/>
  <c r="D27"/>
  <c r="E26"/>
  <c r="D26"/>
  <c r="E24"/>
  <c r="D24"/>
  <c r="E23"/>
  <c r="D23"/>
  <c r="E22"/>
  <c r="D22"/>
  <c r="E20"/>
  <c r="D20"/>
  <c r="E19"/>
  <c r="D19"/>
  <c r="E18"/>
  <c r="D18"/>
  <c r="E16"/>
  <c r="D16"/>
  <c r="E15"/>
  <c r="D15"/>
  <c r="E14"/>
  <c r="D14"/>
  <c r="E13"/>
  <c r="D13"/>
  <c r="E12"/>
  <c r="D12"/>
  <c r="I51"/>
  <c r="E51" s="1"/>
  <c r="H51"/>
  <c r="D51" s="1"/>
  <c r="I50"/>
  <c r="E50" s="1"/>
  <c r="H50"/>
  <c r="D50" s="1"/>
  <c r="I44"/>
  <c r="E44" s="1"/>
  <c r="H44"/>
  <c r="D44" s="1"/>
  <c r="I41"/>
  <c r="E41" s="1"/>
  <c r="H41"/>
  <c r="D41" s="1"/>
  <c r="I33"/>
  <c r="E33" s="1"/>
  <c r="H33"/>
  <c r="D33" s="1"/>
  <c r="I25"/>
  <c r="E25" s="1"/>
  <c r="H25"/>
  <c r="D25" s="1"/>
  <c r="I21"/>
  <c r="E21" s="1"/>
  <c r="H21"/>
  <c r="D21" s="1"/>
  <c r="I17"/>
  <c r="E17" s="1"/>
  <c r="H17"/>
  <c r="D17" s="1"/>
  <c r="I11"/>
  <c r="E11" s="1"/>
  <c r="H11"/>
  <c r="D11" s="1"/>
  <c r="I10"/>
  <c r="I31" s="1"/>
  <c r="I39" s="1"/>
  <c r="I40" s="1"/>
  <c r="H10"/>
  <c r="H31" s="1"/>
  <c r="H39" s="1"/>
  <c r="H40" s="1"/>
  <c r="M50"/>
  <c r="L50"/>
  <c r="M33"/>
  <c r="L33"/>
  <c r="M25"/>
  <c r="L25"/>
  <c r="M21"/>
  <c r="L21"/>
  <c r="M17"/>
  <c r="L17"/>
  <c r="M11"/>
  <c r="L11"/>
  <c r="M10"/>
  <c r="M31" s="1"/>
  <c r="M39" s="1"/>
  <c r="M40" s="1"/>
  <c r="L10"/>
  <c r="L31" s="1"/>
  <c r="L39" s="1"/>
  <c r="L40" s="1"/>
  <c r="Q53"/>
  <c r="E53" s="1"/>
  <c r="P53"/>
  <c r="D53" s="1"/>
  <c r="Q50"/>
  <c r="P50"/>
  <c r="Q33"/>
  <c r="P33"/>
  <c r="Q25"/>
  <c r="P25"/>
  <c r="Q21"/>
  <c r="P21"/>
  <c r="Q17"/>
  <c r="P17"/>
  <c r="Q11"/>
  <c r="P11"/>
  <c r="Q10"/>
  <c r="Q31" s="1"/>
  <c r="Q39" s="1"/>
  <c r="Q40" s="1"/>
  <c r="P10"/>
  <c r="P31" s="1"/>
  <c r="P39" s="1"/>
  <c r="P40" s="1"/>
  <c r="U54"/>
  <c r="E54" s="1"/>
  <c r="T54"/>
  <c r="D54" s="1"/>
  <c r="U50"/>
  <c r="T50"/>
  <c r="U33"/>
  <c r="T33"/>
  <c r="U25"/>
  <c r="T25"/>
  <c r="U21"/>
  <c r="T21"/>
  <c r="U17"/>
  <c r="T17"/>
  <c r="U11"/>
  <c r="T11"/>
  <c r="U10"/>
  <c r="U31" s="1"/>
  <c r="U39" s="1"/>
  <c r="U40" s="1"/>
  <c r="T10"/>
  <c r="T31" s="1"/>
  <c r="T39" s="1"/>
  <c r="T40" s="1"/>
  <c r="F42" i="15"/>
  <c r="E42"/>
  <c r="F41"/>
  <c r="E41"/>
  <c r="F40"/>
  <c r="E40"/>
  <c r="F39"/>
  <c r="E39"/>
  <c r="F38"/>
  <c r="E38"/>
  <c r="F36"/>
  <c r="E36"/>
  <c r="E34"/>
  <c r="F33"/>
  <c r="E33"/>
  <c r="R47"/>
  <c r="F47" s="1"/>
  <c r="Q47"/>
  <c r="R46"/>
  <c r="F46" s="1"/>
  <c r="Q46"/>
  <c r="E46" s="1"/>
  <c r="R45"/>
  <c r="F45" s="1"/>
  <c r="Q45"/>
  <c r="E45" s="1"/>
  <c r="R37"/>
  <c r="F37" s="1"/>
  <c r="Q37"/>
  <c r="E37" s="1"/>
  <c r="R34"/>
  <c r="F34" s="1"/>
  <c r="R33"/>
  <c r="R32"/>
  <c r="F32" s="1"/>
  <c r="Q32"/>
  <c r="E32" s="1"/>
  <c r="R31"/>
  <c r="F31" s="1"/>
  <c r="Q31"/>
  <c r="E31" s="1"/>
  <c r="R30"/>
  <c r="F30" s="1"/>
  <c r="Q30"/>
  <c r="E30" s="1"/>
  <c r="R29"/>
  <c r="Q29"/>
  <c r="R28"/>
  <c r="F28" s="1"/>
  <c r="Q28"/>
  <c r="E28" s="1"/>
  <c r="R27"/>
  <c r="F27" s="1"/>
  <c r="Q27"/>
  <c r="E27" s="1"/>
  <c r="R26"/>
  <c r="F26" s="1"/>
  <c r="Q26"/>
  <c r="E26" s="1"/>
  <c r="R25"/>
  <c r="Q25"/>
  <c r="R24"/>
  <c r="F24" s="1"/>
  <c r="Q24"/>
  <c r="E24" s="1"/>
  <c r="R23"/>
  <c r="F23" s="1"/>
  <c r="Q23"/>
  <c r="E23" s="1"/>
  <c r="R22"/>
  <c r="F22" s="1"/>
  <c r="Q22"/>
  <c r="E22" s="1"/>
  <c r="R20"/>
  <c r="F20" s="1"/>
  <c r="Q20"/>
  <c r="E20" s="1"/>
  <c r="R19"/>
  <c r="F19" s="1"/>
  <c r="Q19"/>
  <c r="E19" s="1"/>
  <c r="R18"/>
  <c r="F18" s="1"/>
  <c r="Q18"/>
  <c r="E18" s="1"/>
  <c r="R17"/>
  <c r="F17" s="1"/>
  <c r="Q17"/>
  <c r="E17" s="1"/>
  <c r="R16"/>
  <c r="F16" s="1"/>
  <c r="Q16"/>
  <c r="E16" s="1"/>
  <c r="R15"/>
  <c r="F15" s="1"/>
  <c r="Q15"/>
  <c r="E15" s="1"/>
  <c r="R14"/>
  <c r="F14" s="1"/>
  <c r="Q14"/>
  <c r="E14" s="1"/>
  <c r="R13"/>
  <c r="F13" s="1"/>
  <c r="Q13"/>
  <c r="E13" s="1"/>
  <c r="R12"/>
  <c r="F12" s="1"/>
  <c r="Q12"/>
  <c r="E12" s="1"/>
  <c r="R11"/>
  <c r="F11" s="1"/>
  <c r="Q11"/>
  <c r="E11" s="1"/>
  <c r="R10"/>
  <c r="Q10"/>
  <c r="Z37"/>
  <c r="Y37"/>
  <c r="Z29"/>
  <c r="Y29"/>
  <c r="Z25"/>
  <c r="Y25"/>
  <c r="Z21"/>
  <c r="Y21"/>
  <c r="Z10"/>
  <c r="Y10"/>
  <c r="Z9"/>
  <c r="Z35" s="1"/>
  <c r="Z43" s="1"/>
  <c r="Z44" s="1"/>
  <c r="Y9"/>
  <c r="Y35" s="1"/>
  <c r="Y43" s="1"/>
  <c r="Y44" s="1"/>
  <c r="V37"/>
  <c r="U37"/>
  <c r="V29"/>
  <c r="U29"/>
  <c r="V25"/>
  <c r="U25"/>
  <c r="V21"/>
  <c r="R21" s="1"/>
  <c r="R9" s="1"/>
  <c r="R35" s="1"/>
  <c r="R43" s="1"/>
  <c r="R44" s="1"/>
  <c r="U21"/>
  <c r="Q21" s="1"/>
  <c r="Q9" s="1"/>
  <c r="Q35" s="1"/>
  <c r="Q43" s="1"/>
  <c r="Q44" s="1"/>
  <c r="V10"/>
  <c r="U10"/>
  <c r="V9"/>
  <c r="V35" s="1"/>
  <c r="V43" s="1"/>
  <c r="V44" s="1"/>
  <c r="U9"/>
  <c r="U35" s="1"/>
  <c r="U43" s="1"/>
  <c r="U44" s="1"/>
  <c r="N29"/>
  <c r="M29"/>
  <c r="N25"/>
  <c r="M25"/>
  <c r="N21"/>
  <c r="M21"/>
  <c r="N10"/>
  <c r="M10"/>
  <c r="N9"/>
  <c r="N35" s="1"/>
  <c r="N43" s="1"/>
  <c r="N44" s="1"/>
  <c r="M9"/>
  <c r="M35" s="1"/>
  <c r="M43" s="1"/>
  <c r="M44" s="1"/>
  <c r="J29"/>
  <c r="F29" s="1"/>
  <c r="I29"/>
  <c r="E29" s="1"/>
  <c r="J25"/>
  <c r="F25" s="1"/>
  <c r="I25"/>
  <c r="E25" s="1"/>
  <c r="J21"/>
  <c r="F21" s="1"/>
  <c r="I21"/>
  <c r="E21" s="1"/>
  <c r="J10"/>
  <c r="F10" s="1"/>
  <c r="I10"/>
  <c r="E10" s="1"/>
  <c r="J9"/>
  <c r="J35" s="1"/>
  <c r="J43" s="1"/>
  <c r="J44" s="1"/>
  <c r="I9"/>
  <c r="I35" s="1"/>
  <c r="I43" s="1"/>
  <c r="I44" s="1"/>
  <c r="S11" i="17"/>
  <c r="S21"/>
  <c r="W16" i="16"/>
  <c r="W14"/>
  <c r="S16"/>
  <c r="S14"/>
  <c r="AB30" i="15"/>
  <c r="AB11"/>
  <c r="X26"/>
  <c r="X11"/>
  <c r="P30"/>
  <c r="P26"/>
  <c r="P27" s="1"/>
  <c r="K11" i="17"/>
  <c r="K16" i="16"/>
  <c r="K26"/>
  <c r="K22"/>
  <c r="L30" i="15"/>
  <c r="L31" s="1"/>
  <c r="L18"/>
  <c r="W21" i="17"/>
  <c r="W17"/>
  <c r="W11"/>
  <c r="S17"/>
  <c r="O21"/>
  <c r="O11"/>
  <c r="K21"/>
  <c r="K17"/>
  <c r="O14" i="16"/>
  <c r="O26"/>
  <c r="O22"/>
  <c r="O16"/>
  <c r="W26"/>
  <c r="W22"/>
  <c r="S26"/>
  <c r="S22"/>
  <c r="AB18" i="15"/>
  <c r="X18"/>
  <c r="P18"/>
  <c r="L26"/>
  <c r="X30"/>
  <c r="AB26"/>
  <c r="F36" i="22"/>
  <c r="F37" s="1"/>
  <c r="F29"/>
  <c r="G36"/>
  <c r="G37" s="1"/>
  <c r="G29"/>
  <c r="D30" i="20"/>
  <c r="F30" s="1"/>
  <c r="H30" s="1"/>
  <c r="B30"/>
  <c r="F29"/>
  <c r="H29" s="1"/>
  <c r="F28"/>
  <c r="H28" s="1"/>
  <c r="F27"/>
  <c r="H27" s="1"/>
  <c r="F26"/>
  <c r="F7"/>
  <c r="H7" s="1"/>
  <c r="F8"/>
  <c r="H8" s="1"/>
  <c r="J8" s="1"/>
  <c r="F9"/>
  <c r="H9" s="1"/>
  <c r="J9" s="1"/>
  <c r="F6"/>
  <c r="D10"/>
  <c r="F10" s="1"/>
  <c r="H10" s="1"/>
  <c r="J10" s="1"/>
  <c r="B10"/>
  <c r="O45" i="21"/>
  <c r="N45"/>
  <c r="M45"/>
  <c r="L45"/>
  <c r="K45"/>
  <c r="J45"/>
  <c r="I45"/>
  <c r="H45"/>
  <c r="G45"/>
  <c r="F45"/>
  <c r="E45"/>
  <c r="D45"/>
  <c r="C43"/>
  <c r="O38"/>
  <c r="N38"/>
  <c r="M38"/>
  <c r="L38"/>
  <c r="K38"/>
  <c r="J38"/>
  <c r="I38"/>
  <c r="H38"/>
  <c r="G38"/>
  <c r="F38"/>
  <c r="E38"/>
  <c r="D38"/>
  <c r="C36"/>
  <c r="O32"/>
  <c r="O31" s="1"/>
  <c r="N32"/>
  <c r="N31" s="1"/>
  <c r="M32"/>
  <c r="M31" s="1"/>
  <c r="L32"/>
  <c r="L31" s="1"/>
  <c r="K32"/>
  <c r="K31" s="1"/>
  <c r="J32"/>
  <c r="I32"/>
  <c r="I31" s="1"/>
  <c r="H32"/>
  <c r="H31" s="1"/>
  <c r="G32"/>
  <c r="G31" s="1"/>
  <c r="F32"/>
  <c r="F31" s="1"/>
  <c r="E32"/>
  <c r="E31" s="1"/>
  <c r="D32"/>
  <c r="J31"/>
  <c r="C30"/>
  <c r="O24"/>
  <c r="N24"/>
  <c r="M24"/>
  <c r="L24"/>
  <c r="K24"/>
  <c r="J24"/>
  <c r="I24"/>
  <c r="H24"/>
  <c r="G24"/>
  <c r="F24"/>
  <c r="E24"/>
  <c r="D24"/>
  <c r="C22"/>
  <c r="O17"/>
  <c r="O28" s="1"/>
  <c r="N17"/>
  <c r="M17"/>
  <c r="M28" s="1"/>
  <c r="L17"/>
  <c r="K17"/>
  <c r="K28" s="1"/>
  <c r="J17"/>
  <c r="I17"/>
  <c r="I28" s="1"/>
  <c r="H17"/>
  <c r="G17"/>
  <c r="G28" s="1"/>
  <c r="F17"/>
  <c r="E17"/>
  <c r="E28" s="1"/>
  <c r="D17"/>
  <c r="C15"/>
  <c r="C11" s="1"/>
  <c r="O11"/>
  <c r="O10" s="1"/>
  <c r="N11"/>
  <c r="N10" s="1"/>
  <c r="M11"/>
  <c r="M10" s="1"/>
  <c r="L11"/>
  <c r="L10" s="1"/>
  <c r="K11"/>
  <c r="K10" s="1"/>
  <c r="J11"/>
  <c r="I11"/>
  <c r="I10" s="1"/>
  <c r="H11"/>
  <c r="H10" s="1"/>
  <c r="G11"/>
  <c r="G10" s="1"/>
  <c r="F11"/>
  <c r="F10" s="1"/>
  <c r="E11"/>
  <c r="E10" s="1"/>
  <c r="D11"/>
  <c r="D10" s="1"/>
  <c r="J10"/>
  <c r="C9"/>
  <c r="H34" i="18"/>
  <c r="H33" s="1"/>
  <c r="S36" i="15"/>
  <c r="F33" i="18"/>
  <c r="F29"/>
  <c r="F25"/>
  <c r="E32"/>
  <c r="E31"/>
  <c r="E36" i="17" l="1"/>
  <c r="D36"/>
  <c r="F9" i="15"/>
  <c r="F35"/>
  <c r="F43"/>
  <c r="F44" s="1"/>
  <c r="D10" i="16"/>
  <c r="D31"/>
  <c r="D39"/>
  <c r="D40" s="1"/>
  <c r="D9" i="17"/>
  <c r="D26"/>
  <c r="D34"/>
  <c r="D35" s="1"/>
  <c r="D28" i="21"/>
  <c r="F28"/>
  <c r="H28"/>
  <c r="J28"/>
  <c r="L28"/>
  <c r="N28"/>
  <c r="C38"/>
  <c r="F49"/>
  <c r="H49"/>
  <c r="J49"/>
  <c r="L49"/>
  <c r="N49"/>
  <c r="H26" i="20"/>
  <c r="G26" s="1"/>
  <c r="E9" i="15"/>
  <c r="E35"/>
  <c r="E43"/>
  <c r="E44" s="1"/>
  <c r="E10" i="16"/>
  <c r="E31"/>
  <c r="E39"/>
  <c r="E40" s="1"/>
  <c r="E9" i="17"/>
  <c r="E26"/>
  <c r="E34"/>
  <c r="E35" s="1"/>
  <c r="N21" i="21"/>
  <c r="C24"/>
  <c r="C32"/>
  <c r="C31" s="1"/>
  <c r="E49"/>
  <c r="G49"/>
  <c r="I49"/>
  <c r="K49"/>
  <c r="M49"/>
  <c r="O49"/>
  <c r="C45"/>
  <c r="J7" i="20"/>
  <c r="H6"/>
  <c r="D21" i="21"/>
  <c r="F21"/>
  <c r="H21"/>
  <c r="J21"/>
  <c r="L21"/>
  <c r="D42"/>
  <c r="F42"/>
  <c r="H42"/>
  <c r="J42"/>
  <c r="L42"/>
  <c r="N42"/>
  <c r="D49"/>
  <c r="C10"/>
  <c r="E21"/>
  <c r="G21"/>
  <c r="I21"/>
  <c r="K21"/>
  <c r="M21"/>
  <c r="O21"/>
  <c r="D31"/>
  <c r="E42"/>
  <c r="G42"/>
  <c r="I42"/>
  <c r="K42"/>
  <c r="M42"/>
  <c r="O42"/>
  <c r="C28"/>
  <c r="C17"/>
  <c r="C49" l="1"/>
  <c r="C21"/>
  <c r="G6" i="20"/>
  <c r="J6"/>
  <c r="C42" i="21"/>
  <c r="G40" i="17"/>
  <c r="G39"/>
  <c r="G38"/>
  <c r="G37"/>
  <c r="G36" s="1"/>
  <c r="G33"/>
  <c r="G32"/>
  <c r="G31"/>
  <c r="G30"/>
  <c r="G29"/>
  <c r="G27"/>
  <c r="G25"/>
  <c r="G24"/>
  <c r="G23"/>
  <c r="G21"/>
  <c r="G19"/>
  <c r="G17"/>
  <c r="G15"/>
  <c r="G14"/>
  <c r="G11"/>
  <c r="G10"/>
  <c r="F10"/>
  <c r="F11"/>
  <c r="F14"/>
  <c r="F15"/>
  <c r="F17"/>
  <c r="F19"/>
  <c r="F21"/>
  <c r="F23"/>
  <c r="F24"/>
  <c r="F25"/>
  <c r="F27"/>
  <c r="F29"/>
  <c r="F30"/>
  <c r="F31"/>
  <c r="F32"/>
  <c r="F33"/>
  <c r="F37"/>
  <c r="F38"/>
  <c r="F39"/>
  <c r="F40"/>
  <c r="O36"/>
  <c r="O28"/>
  <c r="O22"/>
  <c r="O20" s="1"/>
  <c r="O16"/>
  <c r="O13"/>
  <c r="O12" s="1"/>
  <c r="N36"/>
  <c r="N28"/>
  <c r="N22"/>
  <c r="N20" s="1"/>
  <c r="N16"/>
  <c r="N13"/>
  <c r="N12" s="1"/>
  <c r="W36"/>
  <c r="W28"/>
  <c r="W22"/>
  <c r="W20" s="1"/>
  <c r="W18"/>
  <c r="W16" s="1"/>
  <c r="W13"/>
  <c r="W12"/>
  <c r="V36"/>
  <c r="V28"/>
  <c r="V22"/>
  <c r="V20" s="1"/>
  <c r="V18"/>
  <c r="V16" s="1"/>
  <c r="V13"/>
  <c r="V12" s="1"/>
  <c r="S36"/>
  <c r="S28"/>
  <c r="S22"/>
  <c r="S20" s="1"/>
  <c r="S18"/>
  <c r="S16" s="1"/>
  <c r="S13"/>
  <c r="S12" s="1"/>
  <c r="R36"/>
  <c r="R28"/>
  <c r="R22"/>
  <c r="R20" s="1"/>
  <c r="R18"/>
  <c r="R16" s="1"/>
  <c r="R13"/>
  <c r="R12" s="1"/>
  <c r="G56" i="16"/>
  <c r="G55"/>
  <c r="G54"/>
  <c r="G53"/>
  <c r="G52"/>
  <c r="G51"/>
  <c r="G49"/>
  <c r="G48"/>
  <c r="G47"/>
  <c r="G46"/>
  <c r="G45"/>
  <c r="G43"/>
  <c r="G42"/>
  <c r="G38"/>
  <c r="G37"/>
  <c r="G36"/>
  <c r="G35"/>
  <c r="G34"/>
  <c r="G32"/>
  <c r="G30"/>
  <c r="G29"/>
  <c r="G28"/>
  <c r="G26"/>
  <c r="G24"/>
  <c r="G22"/>
  <c r="G20"/>
  <c r="G19"/>
  <c r="G16"/>
  <c r="G15"/>
  <c r="G14"/>
  <c r="G13"/>
  <c r="G12"/>
  <c r="F12"/>
  <c r="F13"/>
  <c r="F14"/>
  <c r="F15"/>
  <c r="F16"/>
  <c r="F19"/>
  <c r="F20"/>
  <c r="F22"/>
  <c r="F24"/>
  <c r="F26"/>
  <c r="F28"/>
  <c r="F29"/>
  <c r="F30"/>
  <c r="F32"/>
  <c r="F34"/>
  <c r="F35"/>
  <c r="F36"/>
  <c r="F37"/>
  <c r="F38"/>
  <c r="F42"/>
  <c r="F43"/>
  <c r="F45"/>
  <c r="F46"/>
  <c r="F47"/>
  <c r="F48"/>
  <c r="F49"/>
  <c r="F51"/>
  <c r="F52"/>
  <c r="F53"/>
  <c r="F54"/>
  <c r="F55"/>
  <c r="F56"/>
  <c r="W50"/>
  <c r="W44"/>
  <c r="W41"/>
  <c r="W33"/>
  <c r="W27"/>
  <c r="W25" s="1"/>
  <c r="W23"/>
  <c r="W21" s="1"/>
  <c r="W18"/>
  <c r="W17" s="1"/>
  <c r="W11"/>
  <c r="V50"/>
  <c r="V44"/>
  <c r="V41"/>
  <c r="V33"/>
  <c r="V27"/>
  <c r="V25" s="1"/>
  <c r="V23"/>
  <c r="V21" s="1"/>
  <c r="V18"/>
  <c r="V17" s="1"/>
  <c r="V11"/>
  <c r="S50"/>
  <c r="S44"/>
  <c r="S41"/>
  <c r="S33"/>
  <c r="S27"/>
  <c r="S25" s="1"/>
  <c r="S23"/>
  <c r="S21" s="1"/>
  <c r="S18"/>
  <c r="S17" s="1"/>
  <c r="S11"/>
  <c r="R50"/>
  <c r="K50"/>
  <c r="J50"/>
  <c r="F50" s="1"/>
  <c r="R44"/>
  <c r="R41"/>
  <c r="R33"/>
  <c r="R27"/>
  <c r="R25" s="1"/>
  <c r="R23"/>
  <c r="R21" s="1"/>
  <c r="R18"/>
  <c r="R17" s="1"/>
  <c r="R11"/>
  <c r="O44"/>
  <c r="O41"/>
  <c r="O33"/>
  <c r="O27"/>
  <c r="O25" s="1"/>
  <c r="O23"/>
  <c r="O21" s="1"/>
  <c r="O18"/>
  <c r="O17" s="1"/>
  <c r="N44"/>
  <c r="N41"/>
  <c r="N33"/>
  <c r="N27"/>
  <c r="N25"/>
  <c r="N23"/>
  <c r="N21"/>
  <c r="N18"/>
  <c r="N17"/>
  <c r="N11"/>
  <c r="K36" i="17"/>
  <c r="K28"/>
  <c r="G28" s="1"/>
  <c r="K22"/>
  <c r="K20" s="1"/>
  <c r="K18"/>
  <c r="K16" s="1"/>
  <c r="K13"/>
  <c r="K12" s="1"/>
  <c r="G12" s="1"/>
  <c r="J36"/>
  <c r="J28"/>
  <c r="F28" s="1"/>
  <c r="J22"/>
  <c r="J20" s="1"/>
  <c r="F20" s="1"/>
  <c r="J18"/>
  <c r="J16" s="1"/>
  <c r="F16" s="1"/>
  <c r="J13"/>
  <c r="J12" s="1"/>
  <c r="F12" s="1"/>
  <c r="K44" i="16"/>
  <c r="G44" s="1"/>
  <c r="K41"/>
  <c r="G41" s="1"/>
  <c r="K33"/>
  <c r="G33" s="1"/>
  <c r="K27"/>
  <c r="K25" s="1"/>
  <c r="G25" s="1"/>
  <c r="K23"/>
  <c r="G23" s="1"/>
  <c r="K18"/>
  <c r="K11"/>
  <c r="J44"/>
  <c r="J41"/>
  <c r="F41" s="1"/>
  <c r="J33"/>
  <c r="J11"/>
  <c r="J27"/>
  <c r="F27" s="1"/>
  <c r="J23"/>
  <c r="F23" s="1"/>
  <c r="J18"/>
  <c r="F18" s="1"/>
  <c r="H49" i="15"/>
  <c r="H48"/>
  <c r="H47"/>
  <c r="H46"/>
  <c r="H36"/>
  <c r="H34"/>
  <c r="H33"/>
  <c r="G33"/>
  <c r="G34"/>
  <c r="G36"/>
  <c r="G46"/>
  <c r="G47"/>
  <c r="G48"/>
  <c r="G49"/>
  <c r="L32"/>
  <c r="P32"/>
  <c r="L45"/>
  <c r="L37"/>
  <c r="K37"/>
  <c r="K31"/>
  <c r="K29" s="1"/>
  <c r="L29"/>
  <c r="L28"/>
  <c r="K27"/>
  <c r="K25" s="1"/>
  <c r="L27"/>
  <c r="L25" s="1"/>
  <c r="L24"/>
  <c r="L23"/>
  <c r="K22"/>
  <c r="L22"/>
  <c r="L19"/>
  <c r="L11"/>
  <c r="K10"/>
  <c r="P41"/>
  <c r="P38"/>
  <c r="O37"/>
  <c r="O31"/>
  <c r="P31"/>
  <c r="O29"/>
  <c r="P28"/>
  <c r="O27"/>
  <c r="O25" s="1"/>
  <c r="P24"/>
  <c r="P23"/>
  <c r="O22"/>
  <c r="O21" s="1"/>
  <c r="P22"/>
  <c r="P19"/>
  <c r="P11"/>
  <c r="O10"/>
  <c r="T42"/>
  <c r="H42" s="1"/>
  <c r="T40"/>
  <c r="H40" s="1"/>
  <c r="T39"/>
  <c r="H39" s="1"/>
  <c r="T32"/>
  <c r="T17"/>
  <c r="H17" s="1"/>
  <c r="T16"/>
  <c r="H16" s="1"/>
  <c r="T15"/>
  <c r="H15" s="1"/>
  <c r="T14"/>
  <c r="H14" s="1"/>
  <c r="T13"/>
  <c r="H13" s="1"/>
  <c r="S45"/>
  <c r="G45" s="1"/>
  <c r="S39"/>
  <c r="G39" s="1"/>
  <c r="S40"/>
  <c r="G40" s="1"/>
  <c r="S41"/>
  <c r="G41" s="1"/>
  <c r="S42"/>
  <c r="G42" s="1"/>
  <c r="S38"/>
  <c r="S32"/>
  <c r="G32" s="1"/>
  <c r="S30"/>
  <c r="G30" s="1"/>
  <c r="S28"/>
  <c r="G28" s="1"/>
  <c r="S26"/>
  <c r="G26" s="1"/>
  <c r="S24"/>
  <c r="G24" s="1"/>
  <c r="S23"/>
  <c r="G23" s="1"/>
  <c r="S20"/>
  <c r="G20" s="1"/>
  <c r="S12"/>
  <c r="G12" s="1"/>
  <c r="S13"/>
  <c r="G13" s="1"/>
  <c r="S14"/>
  <c r="G14" s="1"/>
  <c r="S15"/>
  <c r="G15" s="1"/>
  <c r="S16"/>
  <c r="G16" s="1"/>
  <c r="S17"/>
  <c r="G17" s="1"/>
  <c r="S18"/>
  <c r="G18" s="1"/>
  <c r="S19"/>
  <c r="G19" s="1"/>
  <c r="S11"/>
  <c r="G11" s="1"/>
  <c r="X45"/>
  <c r="X41"/>
  <c r="T41" s="1"/>
  <c r="X38"/>
  <c r="T38" s="1"/>
  <c r="T30"/>
  <c r="X28"/>
  <c r="T26"/>
  <c r="X23"/>
  <c r="T23" s="1"/>
  <c r="X24"/>
  <c r="T24" s="1"/>
  <c r="X22"/>
  <c r="X19"/>
  <c r="T19" s="1"/>
  <c r="T18"/>
  <c r="H18" s="1"/>
  <c r="T12"/>
  <c r="H12" s="1"/>
  <c r="T11"/>
  <c r="W37"/>
  <c r="X31"/>
  <c r="W31"/>
  <c r="X29"/>
  <c r="W29"/>
  <c r="X27"/>
  <c r="W27"/>
  <c r="W25" s="1"/>
  <c r="W22"/>
  <c r="W21" s="1"/>
  <c r="W10"/>
  <c r="AB37"/>
  <c r="AA37"/>
  <c r="AB31"/>
  <c r="AB29" s="1"/>
  <c r="AA31"/>
  <c r="AA29" s="1"/>
  <c r="AB27"/>
  <c r="AB25" s="1"/>
  <c r="AA27"/>
  <c r="AA25" s="1"/>
  <c r="AB22"/>
  <c r="AB21" s="1"/>
  <c r="AA22"/>
  <c r="AA21" s="1"/>
  <c r="AB10"/>
  <c r="AA10"/>
  <c r="S22"/>
  <c r="AA9" l="1"/>
  <c r="AA35" s="1"/>
  <c r="AA43" s="1"/>
  <c r="AA44" s="1"/>
  <c r="S10"/>
  <c r="X37"/>
  <c r="S37"/>
  <c r="P21"/>
  <c r="F33" i="16"/>
  <c r="F44"/>
  <c r="O9" i="17"/>
  <c r="O26" s="1"/>
  <c r="H41" i="15"/>
  <c r="H23"/>
  <c r="G10"/>
  <c r="H19"/>
  <c r="G22"/>
  <c r="H24"/>
  <c r="G37"/>
  <c r="H32"/>
  <c r="G50" i="16"/>
  <c r="F36" i="17"/>
  <c r="W10" i="16"/>
  <c r="S10"/>
  <c r="S31" s="1"/>
  <c r="S39" s="1"/>
  <c r="S40" s="1"/>
  <c r="G14" i="18" s="1"/>
  <c r="G13" s="1"/>
  <c r="G11" i="16"/>
  <c r="G20" i="17"/>
  <c r="W9"/>
  <c r="W26" s="1"/>
  <c r="W34" s="1"/>
  <c r="G16"/>
  <c r="S9"/>
  <c r="S26" s="1"/>
  <c r="S34" s="1"/>
  <c r="G18" i="18" s="1"/>
  <c r="G17" s="1"/>
  <c r="G18" i="16"/>
  <c r="W31"/>
  <c r="W39" s="1"/>
  <c r="H14" i="18" s="1"/>
  <c r="H13" s="1"/>
  <c r="AB9" i="15"/>
  <c r="AB35" s="1"/>
  <c r="H11"/>
  <c r="O34" i="17"/>
  <c r="O35" s="1"/>
  <c r="F18" i="18"/>
  <c r="F17" s="1"/>
  <c r="T45" i="15"/>
  <c r="H45" s="1"/>
  <c r="G34" i="18"/>
  <c r="G33" s="1"/>
  <c r="T27" i="15"/>
  <c r="T31"/>
  <c r="S21"/>
  <c r="S27"/>
  <c r="S25" s="1"/>
  <c r="G25" s="1"/>
  <c r="S31"/>
  <c r="S29" s="1"/>
  <c r="G29" s="1"/>
  <c r="T10"/>
  <c r="T37"/>
  <c r="K21"/>
  <c r="G31"/>
  <c r="G27"/>
  <c r="H27"/>
  <c r="H31"/>
  <c r="J17" i="16"/>
  <c r="F17" s="1"/>
  <c r="J21"/>
  <c r="F21" s="1"/>
  <c r="J25"/>
  <c r="F25" s="1"/>
  <c r="K17"/>
  <c r="G17" s="1"/>
  <c r="K21"/>
  <c r="G21" s="1"/>
  <c r="N10"/>
  <c r="N31" s="1"/>
  <c r="N39" s="1"/>
  <c r="N40" s="1"/>
  <c r="G27"/>
  <c r="F13" i="17"/>
  <c r="G13"/>
  <c r="H28" i="18"/>
  <c r="H32" s="1"/>
  <c r="H12"/>
  <c r="H24" s="1"/>
  <c r="G28"/>
  <c r="G32" s="1"/>
  <c r="G12"/>
  <c r="G24" s="1"/>
  <c r="E34"/>
  <c r="O39" i="16"/>
  <c r="O40" s="1"/>
  <c r="F14" i="18"/>
  <c r="F13" s="1"/>
  <c r="W35" i="17"/>
  <c r="H18" i="18"/>
  <c r="H17" s="1"/>
  <c r="G38" i="15"/>
  <c r="H26"/>
  <c r="H30"/>
  <c r="H38"/>
  <c r="J10" i="16"/>
  <c r="F11"/>
  <c r="F22" i="17"/>
  <c r="F18"/>
  <c r="G18"/>
  <c r="G22"/>
  <c r="K9"/>
  <c r="N9"/>
  <c r="N26" s="1"/>
  <c r="N34" s="1"/>
  <c r="N35" s="1"/>
  <c r="V9"/>
  <c r="V26" s="1"/>
  <c r="V34" s="1"/>
  <c r="V35" s="1"/>
  <c r="R9"/>
  <c r="R26" s="1"/>
  <c r="R34" s="1"/>
  <c r="R35" s="1"/>
  <c r="J9"/>
  <c r="V10" i="16"/>
  <c r="V31" s="1"/>
  <c r="V39" s="1"/>
  <c r="V40" s="1"/>
  <c r="R10"/>
  <c r="R31" s="1"/>
  <c r="R39" s="1"/>
  <c r="R40" s="1"/>
  <c r="J31"/>
  <c r="T29" i="15"/>
  <c r="T20"/>
  <c r="T22" s="1"/>
  <c r="T21" s="1"/>
  <c r="X25"/>
  <c r="T28"/>
  <c r="T25" s="1"/>
  <c r="L21"/>
  <c r="L10"/>
  <c r="K9"/>
  <c r="P37"/>
  <c r="H37" s="1"/>
  <c r="O9"/>
  <c r="O35" s="1"/>
  <c r="O43" s="1"/>
  <c r="P25"/>
  <c r="P29"/>
  <c r="X21"/>
  <c r="W9"/>
  <c r="W35" s="1"/>
  <c r="X10"/>
  <c r="S9"/>
  <c r="S35" s="1"/>
  <c r="W40" i="16" l="1"/>
  <c r="H26" i="18"/>
  <c r="X9" i="15"/>
  <c r="X35" s="1"/>
  <c r="G26" i="18" s="1"/>
  <c r="AB43" i="15"/>
  <c r="H37" i="18" s="1"/>
  <c r="H10" i="15"/>
  <c r="H29"/>
  <c r="H10" i="18"/>
  <c r="T9" i="15"/>
  <c r="T35" s="1"/>
  <c r="T43" s="1"/>
  <c r="T44" s="1"/>
  <c r="D28" i="18"/>
  <c r="D32" s="1"/>
  <c r="D12"/>
  <c r="D24" s="1"/>
  <c r="S43" i="15"/>
  <c r="S44" s="1"/>
  <c r="W43"/>
  <c r="W44" s="1"/>
  <c r="J39" i="16"/>
  <c r="F31"/>
  <c r="E33" i="18"/>
  <c r="D33" s="1"/>
  <c r="D34"/>
  <c r="H21"/>
  <c r="AB44" i="15"/>
  <c r="X43"/>
  <c r="G10" i="18"/>
  <c r="K35" i="15"/>
  <c r="G9"/>
  <c r="J26" i="17"/>
  <c r="F9"/>
  <c r="K26"/>
  <c r="G9"/>
  <c r="H25" i="18"/>
  <c r="H30"/>
  <c r="H29" s="1"/>
  <c r="F10" i="16"/>
  <c r="H20" i="15"/>
  <c r="H22"/>
  <c r="H21"/>
  <c r="K10" i="16"/>
  <c r="G21" i="15"/>
  <c r="H25"/>
  <c r="H28"/>
  <c r="L9"/>
  <c r="F10" i="18" l="1"/>
  <c r="X44" i="15"/>
  <c r="G37" i="18"/>
  <c r="F39" i="16"/>
  <c r="F40" s="1"/>
  <c r="J40"/>
  <c r="L35" i="15"/>
  <c r="H9"/>
  <c r="K31" i="16"/>
  <c r="G10"/>
  <c r="K34" i="17"/>
  <c r="E18" i="18" s="1"/>
  <c r="E17" s="1"/>
  <c r="G26" i="17"/>
  <c r="J34"/>
  <c r="F26"/>
  <c r="K43" i="15"/>
  <c r="G35"/>
  <c r="G30" i="18"/>
  <c r="G29" s="1"/>
  <c r="G25"/>
  <c r="G40" s="1"/>
  <c r="H40"/>
  <c r="E10" i="23"/>
  <c r="F10"/>
  <c r="G10"/>
  <c r="H10"/>
  <c r="K44" i="15" l="1"/>
  <c r="G43"/>
  <c r="G44" s="1"/>
  <c r="J35" i="17"/>
  <c r="F34"/>
  <c r="F35" s="1"/>
  <c r="G34"/>
  <c r="G35" s="1"/>
  <c r="D18" i="18" s="1"/>
  <c r="D17" s="1"/>
  <c r="K39" i="16"/>
  <c r="E14" i="18" s="1"/>
  <c r="E13" s="1"/>
  <c r="G31" i="16"/>
  <c r="L43" i="15"/>
  <c r="E10" i="18"/>
  <c r="E9" s="1"/>
  <c r="E26"/>
  <c r="H35" i="15"/>
  <c r="F22" i="18"/>
  <c r="F21" s="1"/>
  <c r="F9"/>
  <c r="G9" i="23"/>
  <c r="F44" i="14"/>
  <c r="E22" i="18" l="1"/>
  <c r="E21" s="1"/>
  <c r="E25"/>
  <c r="E30"/>
  <c r="E29" s="1"/>
  <c r="L44" i="15"/>
  <c r="H43"/>
  <c r="K40" i="16"/>
  <c r="G39"/>
  <c r="G40" s="1"/>
  <c r="D14" i="18" s="1"/>
  <c r="D13" s="1"/>
  <c r="F52" i="14"/>
  <c r="F50"/>
  <c r="F53"/>
  <c r="F51"/>
  <c r="F48"/>
  <c r="F45"/>
  <c r="F47"/>
  <c r="F46"/>
  <c r="D26" i="18" l="1"/>
  <c r="D30" s="1"/>
  <c r="D29" s="1"/>
  <c r="D40" s="1"/>
  <c r="D37"/>
  <c r="H44" i="15"/>
  <c r="D10" i="18" s="1"/>
  <c r="D9" s="1"/>
  <c r="D22" s="1"/>
  <c r="D21" s="1"/>
  <c r="D25" l="1"/>
  <c r="H9" i="23"/>
  <c r="F9"/>
  <c r="E9"/>
  <c r="D9"/>
  <c r="D10"/>
  <c r="B3" i="20" l="1"/>
  <c r="A4" i="21" s="1"/>
  <c r="A5" i="14" l="1"/>
  <c r="B3" i="23"/>
  <c r="B3" i="22"/>
</calcChain>
</file>

<file path=xl/comments1.xml><?xml version="1.0" encoding="utf-8"?>
<comments xmlns="http://schemas.openxmlformats.org/spreadsheetml/2006/main">
  <authors>
    <author>Автор</author>
  </authors>
  <commentList>
    <comment ref="F49" authorId="0">
      <text>
        <r>
          <rPr>
            <b/>
            <sz val="9"/>
            <color indexed="81"/>
            <rFont val="Tahoma"/>
            <family val="2"/>
            <charset val="204"/>
          </rPr>
          <t>Теплове навантаження інших власників (заповнюється ліцензіатом за узгодженням з Департаментом)</t>
        </r>
      </text>
    </comment>
  </commentList>
</comments>
</file>

<file path=xl/sharedStrings.xml><?xml version="1.0" encoding="utf-8"?>
<sst xmlns="http://schemas.openxmlformats.org/spreadsheetml/2006/main" count="1202" uniqueCount="495">
  <si>
    <t>Виробництво теплової енергії</t>
  </si>
  <si>
    <t>Транспортування теплової енергії</t>
  </si>
  <si>
    <t>Постачання теплової енергії</t>
  </si>
  <si>
    <t>населення</t>
  </si>
  <si>
    <t>%</t>
  </si>
  <si>
    <t>Фінансові витрати</t>
  </si>
  <si>
    <t>Плановий період</t>
  </si>
  <si>
    <t>ПОГОДЖЕНО</t>
  </si>
  <si>
    <t>М.П.</t>
  </si>
  <si>
    <t>(найменування  ліцензіата)</t>
  </si>
  <si>
    <t>№ з/п</t>
  </si>
  <si>
    <t>Показники</t>
  </si>
  <si>
    <t>Одиниці виміру</t>
  </si>
  <si>
    <t>У т.ч. за місяцями</t>
  </si>
  <si>
    <t>січень</t>
  </si>
  <si>
    <t>лютий</t>
  </si>
  <si>
    <t>березень</t>
  </si>
  <si>
    <t>квітень</t>
  </si>
  <si>
    <t xml:space="preserve"> 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</si>
  <si>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</si>
  <si>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</si>
  <si>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</si>
  <si>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</si>
  <si>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</si>
  <si>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</si>
  <si>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</si>
  <si>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Відпуск теплової енергії з колекторів власних генеруючих джерел,  усього, у т.ч.:</t>
  </si>
  <si>
    <t>Гкал</t>
  </si>
  <si>
    <t>1.1</t>
  </si>
  <si>
    <t>ТЕЦ, ТЕС, когенераційні установки та ті, що використовують нетрадиційні або поновлювані джерела енергії</t>
  </si>
  <si>
    <t>1.2</t>
  </si>
  <si>
    <t>Котельні</t>
  </si>
  <si>
    <t>Надходження в мережу ліцензіата теплової енергії, яка вироблена іншими виробниками, усього, у т.ч.:</t>
  </si>
  <si>
    <t>2.1</t>
  </si>
  <si>
    <t>Покупна теплова енергія (розшифрувати за назвами виробників)</t>
  </si>
  <si>
    <t>2.2</t>
  </si>
  <si>
    <t xml:space="preserve"> Втрати теплової енергії в теплових мережах ліцензіата, усього: </t>
  </si>
  <si>
    <t>4.1</t>
  </si>
  <si>
    <t>у т.ч.  втрати в теплових мережах ліцензіата теплової енергії інших власників (розшифрувати за власниками)</t>
  </si>
  <si>
    <t>Корисний відпуск теплової енергії з мереж ліцензіата, усього, у тому числі:</t>
  </si>
  <si>
    <t>5.1</t>
  </si>
  <si>
    <t>5.2</t>
  </si>
  <si>
    <t>5.3</t>
  </si>
  <si>
    <t>Гкал/год</t>
  </si>
  <si>
    <t>6.1</t>
  </si>
  <si>
    <t>6.2</t>
  </si>
  <si>
    <t>6.3</t>
  </si>
  <si>
    <r>
      <t xml:space="preserve">Керівник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________________________                                                               ___________________________</t>
    </r>
  </si>
  <si>
    <t>М.П.                                                                                              (підпис)                                                                                         (ініціали, прізвище)</t>
  </si>
  <si>
    <t xml:space="preserve">Розрахунок тарифів на виробництво теплової енергії </t>
  </si>
  <si>
    <t>(найменування ліцензіата)</t>
  </si>
  <si>
    <t>без ПДВ</t>
  </si>
  <si>
    <t>Одиниця виміру</t>
  </si>
  <si>
    <t>Сумарні та середньозважені показники</t>
  </si>
  <si>
    <t>Виробництво теплової енергії для потреб населення</t>
  </si>
  <si>
    <t>Виробництво теплової енергії для  потреб бюджетних установ</t>
  </si>
  <si>
    <t>Виробництво теплової енергії для  потреб інших споживачів</t>
  </si>
  <si>
    <t>Виробнича собівартість, у  т.ч.:</t>
  </si>
  <si>
    <t>тис. грн</t>
  </si>
  <si>
    <t>прямі матеріальні витрати, у т.ч.:</t>
  </si>
  <si>
    <t>1.1.1</t>
  </si>
  <si>
    <t>паливо</t>
  </si>
  <si>
    <t>1.1.2</t>
  </si>
  <si>
    <t>електроенергія</t>
  </si>
  <si>
    <t>1.1.3</t>
  </si>
  <si>
    <t>1.1.4</t>
  </si>
  <si>
    <t>вода для технологічних потреб та водовідведення</t>
  </si>
  <si>
    <t>1.1.5</t>
  </si>
  <si>
    <t>матеріали, запасні  частини та інші матеріальні ресурси</t>
  </si>
  <si>
    <t>прямі витрати на оплату праці</t>
  </si>
  <si>
    <t>1.3</t>
  </si>
  <si>
    <t>інші прямі витрати, у т.ч.:</t>
  </si>
  <si>
    <t>1.3.1</t>
  </si>
  <si>
    <t xml:space="preserve"> відрахування  на соціальні заходи</t>
  </si>
  <si>
    <t>1.3.2</t>
  </si>
  <si>
    <t xml:space="preserve"> амортизаційні відрахування</t>
  </si>
  <si>
    <t>1.3.3</t>
  </si>
  <si>
    <t xml:space="preserve"> інші прямі витрати</t>
  </si>
  <si>
    <t>1.4</t>
  </si>
  <si>
    <t>загальновиробничі витрати, у т.ч.:</t>
  </si>
  <si>
    <t>1.4.1</t>
  </si>
  <si>
    <t>витрати на оплату праці</t>
  </si>
  <si>
    <t>1.4.2</t>
  </si>
  <si>
    <t>відрахування  на соціальні заходи</t>
  </si>
  <si>
    <t>1.4.3</t>
  </si>
  <si>
    <t>інші витрати</t>
  </si>
  <si>
    <t>Адміністративні витрати, у т.ч.:</t>
  </si>
  <si>
    <t>відрахування на соціальні заходи</t>
  </si>
  <si>
    <t>2.3</t>
  </si>
  <si>
    <t>3.1</t>
  </si>
  <si>
    <t>3.2</t>
  </si>
  <si>
    <t>3.3</t>
  </si>
  <si>
    <t>Повна собівартість*</t>
  </si>
  <si>
    <t>7.1</t>
  </si>
  <si>
    <t>податок на прибуток</t>
  </si>
  <si>
    <t>7.2</t>
  </si>
  <si>
    <t xml:space="preserve"> дивіденди</t>
  </si>
  <si>
    <t>7.3</t>
  </si>
  <si>
    <t xml:space="preserve"> резервний фонд (капітал)</t>
  </si>
  <si>
    <t>7.4</t>
  </si>
  <si>
    <t>на розвиток виробництва (виробничі інвестиції)</t>
  </si>
  <si>
    <t>7.5</t>
  </si>
  <si>
    <t xml:space="preserve"> інше використання  прибутку</t>
  </si>
  <si>
    <t>Вартість виробництва теплової енергії за відповідними тарифами</t>
  </si>
  <si>
    <t>Тарифи на виробництво теплової енергії</t>
  </si>
  <si>
    <t>грн/Гкал</t>
  </si>
  <si>
    <t>Реалізація  теплової енергії власним споживачам</t>
  </si>
  <si>
    <t>одиниць</t>
  </si>
  <si>
    <t>Обсяг покупної теплової енергії</t>
  </si>
  <si>
    <t>Ціна покупної теплової енергії</t>
  </si>
  <si>
    <t>Відпуск теплової енергії з колекторів власних ТЕЦ, ТЕС, АЕС, когенераційних установок</t>
  </si>
  <si>
    <t>Собівартість у тарифах на теплову енергію власних ТЕЦ, ТЕС, АЕС, когенераційних установок</t>
  </si>
  <si>
    <t>кВт∙год/ Гкал</t>
  </si>
  <si>
    <t>* Без урахування списання безнадійної дебіторської заборгованості та нарахування резерву сумнівних боргів.</t>
  </si>
  <si>
    <t xml:space="preserve">Розрахунок тарифів на транспортування теплової енергії </t>
  </si>
  <si>
    <t>Усього</t>
  </si>
  <si>
    <t>передбачено діючим тарифом</t>
  </si>
  <si>
    <t>Виробнича собівартість,  у тому числі:</t>
  </si>
  <si>
    <t>Прямі матеріальні витрати, у тому числі:</t>
  </si>
  <si>
    <t>транспортування  теплової енергії тепловими мережами інших підприємств</t>
  </si>
  <si>
    <t>вода для технологічних потреб  та водовідведення</t>
  </si>
  <si>
    <t>Прямі витрати на оплату праці</t>
  </si>
  <si>
    <t>Інші прямі витрати, у тому числі:</t>
  </si>
  <si>
    <t xml:space="preserve">амортизаційні відрахування </t>
  </si>
  <si>
    <t>інші прямі витрати</t>
  </si>
  <si>
    <t>Загальновиробничі витрати, у тому числі:</t>
  </si>
  <si>
    <t>Адміністративні витрати, у тому числі:</t>
  </si>
  <si>
    <t xml:space="preserve">Інші операційні витрати * </t>
  </si>
  <si>
    <t>Розрахунковий прибуток*, усього,  у тому числі:</t>
  </si>
  <si>
    <t xml:space="preserve">тис. грн </t>
  </si>
  <si>
    <t>дивіденди</t>
  </si>
  <si>
    <t>резервний фонд (капітал)</t>
  </si>
  <si>
    <t>інше використання  прибутку</t>
  </si>
  <si>
    <t>Середньозважений тариф на транспортування теплової енергії</t>
  </si>
  <si>
    <t>10.1</t>
  </si>
  <si>
    <t>власної теплової енергії</t>
  </si>
  <si>
    <t>10.2</t>
  </si>
  <si>
    <t>Втрати теплової енергії в мережах ліцензіата, всього, у т.ч.:</t>
  </si>
  <si>
    <t>11.1</t>
  </si>
  <si>
    <t>11.2</t>
  </si>
  <si>
    <t>теплової енергії інших власників</t>
  </si>
  <si>
    <t>Корисний відпуск теплової енергії з мереж ліцензіата, усього, у т.ч.:</t>
  </si>
  <si>
    <t>12.1</t>
  </si>
  <si>
    <t>господарські потреби ліцензованої діяльності ліцензіата</t>
  </si>
  <si>
    <t>12.2</t>
  </si>
  <si>
    <t>корисний відпуск теплової енергії інших власників</t>
  </si>
  <si>
    <t>12.3</t>
  </si>
  <si>
    <t>12.3.1</t>
  </si>
  <si>
    <t>12.3.2</t>
  </si>
  <si>
    <t>бюджетних установ</t>
  </si>
  <si>
    <t>12.3.3</t>
  </si>
  <si>
    <t>інших споживачів</t>
  </si>
  <si>
    <t>Обсяг транспортування теплової енергії ліцензіата мережами іншого(их) транспортувальника(ів)</t>
  </si>
  <si>
    <t xml:space="preserve">Тариф(и) іншого(их) транспортувальника(ів)на транспортування теплової енергії </t>
  </si>
  <si>
    <t xml:space="preserve">Керівник </t>
  </si>
  <si>
    <t>__________________</t>
  </si>
  <si>
    <t xml:space="preserve"> (підпис)</t>
  </si>
  <si>
    <t xml:space="preserve">  (ініціали, прізвище)</t>
  </si>
  <si>
    <t xml:space="preserve">Розрахунок тарифів на постачання теплової енергії </t>
  </si>
  <si>
    <t>Виробнича собівартість, у тому числі:</t>
  </si>
  <si>
    <t>прямі матеріальні витрати</t>
  </si>
  <si>
    <r>
      <t>прямі витрати на оплату</t>
    </r>
    <r>
      <rPr>
        <sz val="8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праці</t>
    </r>
  </si>
  <si>
    <t>інші прямі витрати, у тому числі:</t>
  </si>
  <si>
    <t xml:space="preserve"> амортизаційні відрахування </t>
  </si>
  <si>
    <r>
      <t>витрати на оплату</t>
    </r>
    <r>
      <rPr>
        <sz val="8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праці</t>
    </r>
  </si>
  <si>
    <t xml:space="preserve">Інші  операційні витрати*  </t>
  </si>
  <si>
    <t>Розрахунковий прибуток, усього, у тому числі:</t>
  </si>
  <si>
    <t>Вартість постачання теплової енергії за відповідними тарифами</t>
  </si>
  <si>
    <t xml:space="preserve">Середньозважений тариф на постачання теплової енергії  </t>
  </si>
  <si>
    <t>10.3</t>
  </si>
  <si>
    <t>інших  споживачів</t>
  </si>
  <si>
    <t xml:space="preserve">Розрахунок тарифів на теплову енергію </t>
  </si>
  <si>
    <t>Найменування показника</t>
  </si>
  <si>
    <t>Сумарні та середньозва-жені показники</t>
  </si>
  <si>
    <t>На потреби споживачів:</t>
  </si>
  <si>
    <t>Тариф на виробництво теплової енергії, у т.ч.:</t>
  </si>
  <si>
    <t>плановий прибуток</t>
  </si>
  <si>
    <t>Тариф на транспортування теплової енергії , у т.ч.:</t>
  </si>
  <si>
    <t>повна планова  собівартість  транспортування теплової енергії</t>
  </si>
  <si>
    <t>Тариф на  постачання  теплової енергії, у т.ч.:</t>
  </si>
  <si>
    <t>повна планова  собівартість  постачання теплової енергії</t>
  </si>
  <si>
    <t>Тариф на теплову енергію, у т.ч.:</t>
  </si>
  <si>
    <t>повна планова  собівартість  теплової енергії</t>
  </si>
  <si>
    <t>4.2</t>
  </si>
  <si>
    <t>Річні планові доходи від виробництва, транспортування, постачання теплової енергії, усього, у тому числі:</t>
  </si>
  <si>
    <t>повна планова  собівартість виробництва, транспортування, постачання  теплової енергії</t>
  </si>
  <si>
    <t>плановий прибуток від виробництва, транспортування, постачання  теплової енергії</t>
  </si>
  <si>
    <t>Річні планові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у т.ч.:</t>
  </si>
  <si>
    <t xml:space="preserve">повна планова  собівартість виробництва, транспортування, постачання  теплової енергії </t>
  </si>
  <si>
    <t xml:space="preserve">плановий прибуток від виробництва, транспортування, постачання  теплової енергії </t>
  </si>
  <si>
    <t>Плановий корисний відпуск з мереж ліцензіата теплової енергії власним споживачам та теплової енергії інших власників, у т.ч.:</t>
  </si>
  <si>
    <t xml:space="preserve">корисний відпуск теплової енергії власним споживачам </t>
  </si>
  <si>
    <t>Рівні рентабельності тарифів:</t>
  </si>
  <si>
    <t>8.1</t>
  </si>
  <si>
    <t>на виробництво теплової енергії</t>
  </si>
  <si>
    <t>8.2</t>
  </si>
  <si>
    <t>на транспортування теплової енергії</t>
  </si>
  <si>
    <t>8.3</t>
  </si>
  <si>
    <t>на постачання теплової енергії</t>
  </si>
  <si>
    <t>8.4</t>
  </si>
  <si>
    <t>на теплову енергію</t>
  </si>
  <si>
    <t>Пост</t>
  </si>
  <si>
    <t>ел</t>
  </si>
  <si>
    <t>вода</t>
  </si>
  <si>
    <t>мат</t>
  </si>
  <si>
    <t>пмв</t>
  </si>
  <si>
    <t>іп</t>
  </si>
  <si>
    <t>Вир/тр</t>
  </si>
  <si>
    <t>теплоенергії інших власників для транспортування мережами ліцензіата</t>
  </si>
  <si>
    <t>Транспортування теплової енергії для потреб населення</t>
  </si>
  <si>
    <t>Транспортування теплової енергії для  потреб бюджетних установ</t>
  </si>
  <si>
    <t>Транспортування теплової енергії для  потреб інших споживачів</t>
  </si>
  <si>
    <t>Постачання теплової енергії для потреб населення</t>
  </si>
  <si>
    <t>Постачання теплової енергії для  потреб бюджетних установ</t>
  </si>
  <si>
    <t>Постачання теплової енергії для  потреб інших споживачів</t>
  </si>
  <si>
    <t>Розрахунок вартості технологічного палива на виробництво теплової енергії котельнями на _________ місяць/рік</t>
  </si>
  <si>
    <t>Без ПДВ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</si>
  <si>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</si>
  <si>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</si>
  <si>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</si>
  <si>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</si>
  <si>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Калорійність натурального палива, ккал/м3, ккал/кг</t>
  </si>
  <si>
    <t>Витрати натурального палива, тис.м3, тонн</t>
  </si>
  <si>
    <t>Ціна натурального палива, грн/тис. м3, грн/тонну</t>
  </si>
  <si>
    <t>Вартість палива, тис.грн</t>
  </si>
  <si>
    <t>Ціна 1 тонни умовного палива, грн/тонну</t>
  </si>
  <si>
    <t>Газ, у т.ч. для потреб:</t>
  </si>
  <si>
    <t>Мазут, у т.ч. для потреб:</t>
  </si>
  <si>
    <t>Вугілля, у т.ч. для потреб:</t>
  </si>
  <si>
    <t>Інше технологічне паливо, у т.ч. для потреб:</t>
  </si>
  <si>
    <t>Сумарні та середньозважені показники, у т.ч. для потреб:</t>
  </si>
  <si>
    <t>_____________________</t>
  </si>
  <si>
    <t xml:space="preserve">М.П. </t>
  </si>
  <si>
    <t>Плановий рік</t>
  </si>
  <si>
    <t>травень</t>
  </si>
  <si>
    <t>Норма питомих витрат електроенергії на виробництво теплової енергії</t>
  </si>
  <si>
    <t>Обсяг споживання активної електроенергії, усього</t>
  </si>
  <si>
    <t>тис. кВт∙год</t>
  </si>
  <si>
    <t>Вартість електроенергії (І клас напруги)</t>
  </si>
  <si>
    <t>Тариф без ПДВ (ІІ клас напруги)</t>
  </si>
  <si>
    <t>Вартість електроенергії (ІІ клас напруги)</t>
  </si>
  <si>
    <t>Вартість активної електроенергії, усього</t>
  </si>
  <si>
    <t>тис. кВАр∙год</t>
  </si>
  <si>
    <t>М.П.                                                                                               (підпис)                                                                                                    (ініціали, прізвище)</t>
  </si>
  <si>
    <t>ЗАГАЛЬНА ХАРАКТЕРИСТИКА
ліцензіата з виробництва/транспортування/постачання теплової енергії</t>
  </si>
  <si>
    <t>Передбачено діючими тарифами</t>
  </si>
  <si>
    <t>Встановлена потужність джерел теплопостачання (генеруючих джерел)</t>
  </si>
  <si>
    <t>Теплове навантаження об’єктів теплоспоживання власних споживачів</t>
  </si>
  <si>
    <t>Питоме використання палива (газ) до обсягу відпуску в мережу теплової енергії  з колекторів генеруючих джерел</t>
  </si>
  <si>
    <r>
      <t>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/Гкал</t>
    </r>
  </si>
  <si>
    <t>інше паливо (вказати)</t>
  </si>
  <si>
    <t>Фактичне питоме використання умовного палива на відпуск теплової енергії з колекторів генеруючих джерел</t>
  </si>
  <si>
    <t>кг у.п./Гкал</t>
  </si>
  <si>
    <t>Встановлений норматив використання умовного палива на відпуск теплової енергії з колекторів генеруючих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</si>
  <si>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</si>
  <si>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(генеруючих джерел)</t>
  </si>
  <si>
    <t>Обсяг відпущеної в мережу теплової енергії з колекторів генеруючих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</si>
  <si>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</si>
  <si>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</si>
  <si>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</si>
  <si>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</si>
  <si>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</si>
  <si>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</si>
  <si>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у т. ч.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</si>
  <si>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</si>
  <si>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</si>
  <si>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Загальна довжина теплових мереж у двотрубному виразі станом на кінець року</t>
  </si>
  <si>
    <t>км</t>
  </si>
  <si>
    <t xml:space="preserve"> грн</t>
  </si>
  <si>
    <t>Річний обсяг надходження теплової енергії в мережі ліцензіата</t>
  </si>
  <si>
    <t>Фактичні втрати теплової енергії у власних мережах:</t>
  </si>
  <si>
    <t>у %</t>
  </si>
  <si>
    <t>Нормативні втрати теплової енергії у власних мережах:</t>
  </si>
  <si>
    <t>Річний обсяг транспортування теплової енергії мережами, в т.ч.:</t>
  </si>
  <si>
    <t xml:space="preserve">власної теплової енергії мережами сторонніх підприємств </t>
  </si>
  <si>
    <t>власними тепловими мережами всього, у т.ч.:</t>
  </si>
  <si>
    <t xml:space="preserve"> 7.2.1</t>
  </si>
  <si>
    <t xml:space="preserve"> 7.2.2</t>
  </si>
  <si>
    <t>9.1</t>
  </si>
  <si>
    <r>
      <t xml:space="preserve"> 12</t>
    </r>
    <r>
      <rPr>
        <sz val="16"/>
        <color theme="1"/>
        <rFont val="Times New Roman"/>
        <family val="1"/>
        <charset val="204"/>
      </rPr>
      <t>*</t>
    </r>
  </si>
  <si>
    <t>Теплове навантаження об’єктів теплоспоживання споживачів інших власників теплової енергії, яка транспортується мережами ліцензіата, у т.ч. на потреби:</t>
  </si>
  <si>
    <t>Кількість споживачів (абонентів) ліцензіата всього, у т.ч.:</t>
  </si>
  <si>
    <t>населення – фізичні особи</t>
  </si>
  <si>
    <t>виконавці комунальних послуг з опалення та ГВП</t>
  </si>
  <si>
    <t>інші споживачі</t>
  </si>
  <si>
    <t>Річний обсяг постачання теплової енергії споживачам, у тому числі на потреби:</t>
  </si>
  <si>
    <t>населення – фізичних осіб</t>
  </si>
  <si>
    <t xml:space="preserve"> 4.1.1</t>
  </si>
  <si>
    <t>у тому числі, що обліковується приладами обліку</t>
  </si>
  <si>
    <t>виконавців комунальних послуг для населення з опалення та ГВП</t>
  </si>
  <si>
    <t xml:space="preserve"> 4.2.1</t>
  </si>
  <si>
    <t>4.3</t>
  </si>
  <si>
    <t xml:space="preserve"> 4.3.1</t>
  </si>
  <si>
    <t>4.4</t>
  </si>
  <si>
    <t>* Заповнюється при встановленні двоставкових тарифів.</t>
  </si>
  <si>
    <r>
      <rPr>
        <b/>
        <sz val="11"/>
        <color theme="1"/>
        <rFont val="Calibri"/>
        <family val="2"/>
        <charset val="204"/>
        <scheme val="minor"/>
      </rPr>
      <t>Додаток 10</t>
    </r>
    <r>
      <rPr>
        <sz val="11"/>
        <color theme="1"/>
        <rFont val="Calibri"/>
        <family val="2"/>
        <scheme val="minor"/>
      </rPr>
      <t xml:space="preserve">
до Порядку формування тарифів на
теплову енергію, її виробництво,
транспортування та постачання</t>
    </r>
  </si>
  <si>
    <t>Розрахунок двоставкових тарифів на теплову енергію</t>
  </si>
  <si>
    <t>Найменування показників</t>
  </si>
  <si>
    <t xml:space="preserve">Сумарні та середньо- зважені показники </t>
  </si>
  <si>
    <t>Для потреб споживачів</t>
  </si>
  <si>
    <t>бюджетні установи</t>
  </si>
  <si>
    <t xml:space="preserve"> Обсяг реалізації теплової енергії власним споживачам</t>
  </si>
  <si>
    <t xml:space="preserve"> Теплове навантаження об’єктів теплоспоживання власних споживачів</t>
  </si>
  <si>
    <t>3.1.1</t>
  </si>
  <si>
    <t>3.1.2</t>
  </si>
  <si>
    <t>3.1.3</t>
  </si>
  <si>
    <t>умовно постійні витрати, усього – решта витрат повної планової собівартості виробництва теплової енергії</t>
  </si>
  <si>
    <t>Теплове навантаження об’єктів теплоспоживання власних споживачів та споживачів інших власників теплової енергії, яка транспортується мережами ліцензіата</t>
  </si>
  <si>
    <t>Повна планова собівартість транспортування теплової енергії, усього – умовно-постійні витрати</t>
  </si>
  <si>
    <t>грн./Гкал /год</t>
  </si>
  <si>
    <t>Повна планова собівартість постачання теплової енергії, усього – умовно-постійні витрати</t>
  </si>
  <si>
    <t xml:space="preserve">Плановий прибуток в тарифах на постачання теплової енергії </t>
  </si>
  <si>
    <t>грн / Гкал /год</t>
  </si>
  <si>
    <t>Двоставкові тарифи на теплову енергію для кінцевих споживачів</t>
  </si>
  <si>
    <t xml:space="preserve">             (підпис)</t>
  </si>
  <si>
    <t>5.1.1</t>
  </si>
  <si>
    <t xml:space="preserve"> Теплова енергія інших власників (населення)</t>
  </si>
  <si>
    <t xml:space="preserve"> Теплова енергія інших власників (всього)</t>
  </si>
  <si>
    <t>5.1.2</t>
  </si>
  <si>
    <t>5.1.3</t>
  </si>
  <si>
    <t xml:space="preserve"> Теплова енергія інших власників (бюджет)</t>
  </si>
  <si>
    <t xml:space="preserve"> Теплова енергія інших власників (інші)</t>
  </si>
  <si>
    <t>6.4</t>
  </si>
  <si>
    <t>6.4.1</t>
  </si>
  <si>
    <t>6.4.2</t>
  </si>
  <si>
    <t>6.4.3</t>
  </si>
  <si>
    <t xml:space="preserve"> Теплове навантаження інших власників (всього)</t>
  </si>
  <si>
    <t xml:space="preserve"> Теплове навантаження інших власників (населення)</t>
  </si>
  <si>
    <t xml:space="preserve">  Теплове навантаження інших власників (бюджет)</t>
  </si>
  <si>
    <t xml:space="preserve"> Теплове навантаження інших власників (інші)</t>
  </si>
  <si>
    <t>релігійні організації</t>
  </si>
  <si>
    <t>6.4.4</t>
  </si>
  <si>
    <t xml:space="preserve"> Теплове навантаження релігійних організацій (релігійні)</t>
  </si>
  <si>
    <t>5.1.4</t>
  </si>
  <si>
    <t xml:space="preserve"> Теплова енергія релігійних організацій (релігійні)</t>
  </si>
  <si>
    <t>Виробництво теплової енергії для  потреб релігійних організацій</t>
  </si>
  <si>
    <t>Транспортування теплової енергії для  потреб релігійних організацій</t>
  </si>
  <si>
    <t>Постачання теплової енергії для  потреб релігійних організацій</t>
  </si>
  <si>
    <t>12.3.4</t>
  </si>
  <si>
    <t>10.4</t>
  </si>
  <si>
    <t>12.4</t>
  </si>
  <si>
    <t>релігійних організацій</t>
  </si>
  <si>
    <t xml:space="preserve"> 4.3.2</t>
  </si>
  <si>
    <t>4.5</t>
  </si>
  <si>
    <t xml:space="preserve"> 4.5.1</t>
  </si>
  <si>
    <t>5</t>
  </si>
  <si>
    <t>Втрати теплової енергії ліцензіата в теплових мережах інших теплотранспортуючих організацій</t>
  </si>
  <si>
    <t>6</t>
  </si>
  <si>
    <t>Надходження теплової енергії ліцензіата в  мережу інших теплотранспортуючих організацій</t>
  </si>
  <si>
    <t>те саме у відсотках від рядка 3</t>
  </si>
  <si>
    <t>7</t>
  </si>
  <si>
    <t>7,1</t>
  </si>
  <si>
    <t>теплова енергія інших власників (розшифрувати за назвами власників)</t>
  </si>
  <si>
    <t>7,2</t>
  </si>
  <si>
    <t>7,3</t>
  </si>
  <si>
    <t>7.3.1</t>
  </si>
  <si>
    <t>7.3.2</t>
  </si>
  <si>
    <t>7.3.3</t>
  </si>
  <si>
    <t>7.3.4</t>
  </si>
  <si>
    <t>8</t>
  </si>
  <si>
    <t>Теплове навантаження об’єктів теплоспоживання власних споживачів ліцензіата, усього,   у тому числі на потреби:</t>
  </si>
  <si>
    <t>8,1</t>
  </si>
  <si>
    <t>8,2</t>
  </si>
  <si>
    <t>8,3</t>
  </si>
  <si>
    <t>8,4</t>
  </si>
  <si>
    <t>те саме у відсотках від рядка 7.3</t>
  </si>
  <si>
    <t>корисний відпуск теплової енергії власним  споживачам ліцензіата, усього, у тому числі на потреби:</t>
  </si>
  <si>
    <t>Теплова енергія інших власників для транспортування мережами ліцензіата (розшифрувати за власниками)</t>
  </si>
  <si>
    <t>Надходження теплової енергії в  мережу ліцензіата, усього (рядок 2+ рядок 1)</t>
  </si>
  <si>
    <t>те ж у відсотках від  рядка 2.2</t>
  </si>
  <si>
    <t>покупна теплова енергія *</t>
  </si>
  <si>
    <t>1.1.4.1</t>
  </si>
  <si>
    <t>1.1.4.2</t>
  </si>
  <si>
    <t>1.1.4.3</t>
  </si>
  <si>
    <t>решта витрат</t>
  </si>
  <si>
    <t>те ж у відсотках від рядку 3</t>
  </si>
  <si>
    <t>собівартість теплової енергії власних ТЕЦ, ТЕС, АЕС, когенераційних установок, у тому числі:</t>
  </si>
  <si>
    <t>1.1.6</t>
  </si>
  <si>
    <t>3</t>
  </si>
  <si>
    <t>4</t>
  </si>
  <si>
    <t>Інші операційні витрати**</t>
  </si>
  <si>
    <t>Повна собівартість**</t>
  </si>
  <si>
    <t>Витрати на покриття втрат</t>
  </si>
  <si>
    <t>Розрахунковий прибуток, усього **, у т.ч.:</t>
  </si>
  <si>
    <t>** Без урахування списання безнадійної дебіторської заборгованості та нарахування резерву сумнівних боргів.</t>
  </si>
  <si>
    <t>* Також заповнюється суб'єктами господарювання у разі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</t>
  </si>
  <si>
    <t>Обсяг надходження теплової енергії до мережі ліцензіата, у т.ч.:</t>
  </si>
  <si>
    <t>Вартість транспортування  теплової енергії за відповідними тарифами</t>
  </si>
  <si>
    <t>господарські потреби ліцензованої діяльності</t>
  </si>
  <si>
    <t>Корисний відпуск теплової енергії власним споживачам , у тому числі на потреби:</t>
  </si>
  <si>
    <t>Обсяг реалізованої теплової енергії власним споживачам,  у тому числі на потреби:</t>
  </si>
  <si>
    <t>повна планова  собівартість  виробництва теплової енергії</t>
  </si>
  <si>
    <t>витрати на покриття втрат</t>
  </si>
  <si>
    <t>Відпуск теплової енергії з колекторів котелень</t>
  </si>
  <si>
    <t>Споживання електроенергії                             (І клас напруги)</t>
  </si>
  <si>
    <t>Тариф без ПДВ (І клас напруги)</t>
  </si>
  <si>
    <t>коп/кВт ∙год</t>
  </si>
  <si>
    <t>Споживання електроенергії                              (ІІ клас напруги)</t>
  </si>
  <si>
    <t>Споживання електроенергії власного виробництва</t>
  </si>
  <si>
    <t>Собівартість електроенергії власного виробництва</t>
  </si>
  <si>
    <t>Вартість електроенергії власного виробництва</t>
  </si>
  <si>
    <t>Обсяг споживання реактивної електроенергії</t>
  </si>
  <si>
    <t>Тариф на споживання реактивної електроенергії без ПДВ</t>
  </si>
  <si>
    <t>коп/кВАр∙год</t>
  </si>
  <si>
    <t>Вартість споживання реактивної електроенергії</t>
  </si>
  <si>
    <t>Обсяг генерації реактивної електроенергії</t>
  </si>
  <si>
    <t>Тариф на генерацію реактивної електроенергії без ПДВ</t>
  </si>
  <si>
    <t>Вартість генерації реактивної 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</si>
  <si>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</si>
  <si>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</si>
  <si>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</si>
  <si>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Гкал </t>
  </si>
  <si>
    <t>Норма питомих витрат електроенергії на транспортування теплової енергії </t>
  </si>
  <si>
    <t>кВт·год /Гкал </t>
  </si>
  <si>
    <t>Обсяг споживання активної електроенергії, усього </t>
  </si>
  <si>
    <t>тис. кВт·год </t>
  </si>
  <si>
    <t>Споживання електроенергії                       (I клас напруги) </t>
  </si>
  <si>
    <t>Тариф без ПДВ (I клас напруги) </t>
  </si>
  <si>
    <t>коп/кВт·год </t>
  </si>
  <si>
    <t>Вартість електроенергії (I клас напруги) </t>
  </si>
  <si>
    <t>тис. грн </t>
  </si>
  <si>
    <t>Вартість активної та реактивної електроенергії на транспортування теплової енергії власними мережами</t>
  </si>
  <si>
    <t>Виробництво теплової енергії котельнями</t>
  </si>
  <si>
    <t>Розрахунок технологічних витрат  електроенергії на виробництво та транспортування теплової енергії</t>
  </si>
  <si>
    <r>
      <rPr>
        <b/>
        <sz val="11"/>
        <color theme="1"/>
        <rFont val="Calibri"/>
        <family val="2"/>
        <charset val="204"/>
        <scheme val="minor"/>
      </rPr>
      <t>Додаток 2</t>
    </r>
    <r>
      <rPr>
        <sz val="11"/>
        <color theme="1"/>
        <rFont val="Calibri"/>
        <family val="2"/>
        <scheme val="minor"/>
      </rPr>
      <t xml:space="preserve">
до Процедури формування тарифів на
теплову енергію, її виробництво,
транспортування та постачання 
(підпункт 2 пункту 2.2 розділу ІІ)</t>
    </r>
  </si>
  <si>
    <t>Додаток 3
до Процедури формування тарифів на
теплову енергію, її виробництво,
транспортування та постачання 
(підпункт 21 пункту 2.2 розділу ІІ)</t>
  </si>
  <si>
    <t>Додаток 4
до Процедури формування тарифів на
теплову енергію, її виробництво,
транспортування та постачання 
(підпункт 22 пункту 2.2 розділу ІІ)</t>
  </si>
  <si>
    <t>Додаток 5
до Процедури формування тарифів на
теплову енергію, її виробництво,
транспортування та постачання 
(підпункт 23 пункту 2.2 розділу ІІ)</t>
  </si>
  <si>
    <t>Додаток 6
до Процедури формування тарифів на
теплову енергію, її виробництво,
транспортування та постачання 
(підпункт 24 пункту 2.2 розділу ІІ)</t>
  </si>
  <si>
    <t>Додаток 7
до Процедури формування тарифів на
теплову енергію, її виробництво,
транспортування та постачання 
(підпункт 25 пункту 2.2 розділу ІІ)</t>
  </si>
  <si>
    <t>Додаток 8
до Процедури формування тарифів на
теплову енергію, її виробництво,
транспортування та постачання 
(підпункт 26 пункту 2.2 розділу ІІ)</t>
  </si>
  <si>
    <t>Додаток 9
до Процедури формування тарифів на
теплову енергію, її виробництво,
транспортування та постачання 
(підпункт 26 пункту 2.2 розділу ІІ)</t>
  </si>
  <si>
    <t>витрати на технологічне паливо</t>
  </si>
  <si>
    <t>витрати на технологічну електроенергію для виробництва теплової енергії</t>
  </si>
  <si>
    <t>покупна теплова енергія</t>
  </si>
  <si>
    <t>Умовно-змінна частина двоставкового тарифу на виробництво теплової енергіїу собівартості</t>
  </si>
  <si>
    <t>складова собівартості 
(рядок 3.2/ рядок 2/12 місяців)</t>
  </si>
  <si>
    <t>складова витрат на покриття втрат
(рядок 4/ рядок 2/12 місяців)</t>
  </si>
  <si>
    <t>складова прибутку
(рядок 5/ рядок 2/12 місяців)</t>
  </si>
  <si>
    <t>Плановий прибуток в тарифах на      виробництво теплової енергії, віднесений до умовно постійної частини</t>
  </si>
  <si>
    <t>9</t>
  </si>
  <si>
    <t>10</t>
  </si>
  <si>
    <t>Витрати на покриття втрат – умовно-постійні витрати</t>
  </si>
  <si>
    <t>Плановий прибуток в тарифах на транспортування теплової енергії</t>
  </si>
  <si>
    <t>11</t>
  </si>
  <si>
    <t>12</t>
  </si>
  <si>
    <t>Місячна абонентська плата за транспортування теплової енергії на одиницю теплового навантаження, утому числі</t>
  </si>
  <si>
    <t>складова собівартості 
(рядок 9/ рядок 8/12 місяців)</t>
  </si>
  <si>
    <t>складова витрат на покриття втрат
(рядок 10 рядок 8/12 місяців)</t>
  </si>
  <si>
    <t>складова прибутку
(рядок 11/ рядок 8/12 місяців)</t>
  </si>
  <si>
    <t>13</t>
  </si>
  <si>
    <t>14</t>
  </si>
  <si>
    <t>15</t>
  </si>
  <si>
    <t>16</t>
  </si>
  <si>
    <t>16.1</t>
  </si>
  <si>
    <t>16.2</t>
  </si>
  <si>
    <t>16.3</t>
  </si>
  <si>
    <t>складова собівартості 
(рядок 13/ рядок 2/12 місяців)</t>
  </si>
  <si>
    <t>складова витрат на покриття втрат
(рядок 14 рядок 2/12 місяців)</t>
  </si>
  <si>
    <t>складова прибутку
(рядок 15/ рядок 2/12 місяців)</t>
  </si>
  <si>
    <t>Умовно-змінна частина двоставкового тарифу на теплову енергію у собівартості (рядок 6)</t>
  </si>
  <si>
    <t>17</t>
  </si>
  <si>
    <t>18</t>
  </si>
  <si>
    <t>18.1</t>
  </si>
  <si>
    <t>18.2</t>
  </si>
  <si>
    <t>18.3</t>
  </si>
  <si>
    <t>Умовно-постійна частина двоставкового тарифу на теплову енергію – місячна абонентська плата на одиницю теплового навантаження (рядок 7 + рядок 12 + рядок 16), у тому числі:</t>
  </si>
  <si>
    <t>складова собівартості 
(рядок 7.1 + рядок 12.1 + рядок 16.1)</t>
  </si>
  <si>
    <t>складова витрат на покриття втрат
(рядок 7.2 + рядок 12.2 + рядок 16.2)</t>
  </si>
  <si>
    <t>складова прибутку
(рядок 7.3 + рядок 12.3 + рядок 16.3</t>
  </si>
  <si>
    <t>Повна планова собівартість виробництва теплової енергії, усього, у тому числі</t>
  </si>
  <si>
    <t>умовно змінні витрати, усього, у тому числі</t>
  </si>
  <si>
    <t>Умовно-постійна частина двоставкового тарифу на виробництво теплової енергії – місячна абонентська плата на одиницю теплового навантаження, у тому числі</t>
  </si>
  <si>
    <t>Місячна абонентська плата за постачання теплової енергії на одиницю теплового навантаження, у тому числі</t>
  </si>
  <si>
    <t xml:space="preserve">Виробництво теплової енергії для  потреб бюджетних установ та інших споживачів, усього </t>
  </si>
  <si>
    <t>період, попередній базовому</t>
  </si>
  <si>
    <t xml:space="preserve">базовий період </t>
  </si>
  <si>
    <t xml:space="preserve"> плановий період </t>
  </si>
  <si>
    <t xml:space="preserve"> плановий період</t>
  </si>
  <si>
    <t>у тому числі</t>
  </si>
  <si>
    <t>період, попередній до базового</t>
  </si>
  <si>
    <t>базовий період</t>
  </si>
  <si>
    <t>плановий  період</t>
  </si>
  <si>
    <t>Період, попередній до базового</t>
  </si>
  <si>
    <t>Базовий період</t>
  </si>
  <si>
    <t>Тарифи на виробництво теплової енергії власних ТЕЦ, ТЕС, АЕС, когенераційних установок</t>
  </si>
  <si>
    <t>Попередній до базового період 2015</t>
  </si>
  <si>
    <t>Базовий період 2016</t>
  </si>
  <si>
    <t>Річний план 2013</t>
  </si>
  <si>
    <t>РІЧНИЙ  ПЛАН  ВИРОБНИЦТВА, ТРАНСПОРТУВАННЯ ТА  ПОСТАЧАННЯ  ТЕПЛОВОЇ  ЕНЕРГІЇ НА 12 МІСЯЦІВ З «1 » січня  2017 року</t>
  </si>
  <si>
    <t>Комунальне підприємство Броварської міської ради Київської області "Броваритепловодоенергія"</t>
  </si>
  <si>
    <t>Андрєєв В.О.</t>
  </si>
  <si>
    <r>
      <t xml:space="preserve">   (ініціали, прізвище</t>
    </r>
    <r>
      <rPr>
        <sz val="10"/>
        <rFont val="Arial"/>
        <family val="2"/>
        <charset val="204"/>
      </rPr>
      <t>)</t>
    </r>
  </si>
  <si>
    <t>кор відпуск</t>
  </si>
  <si>
    <t>487,78*1,1</t>
  </si>
</sst>
</file>

<file path=xl/styles.xml><?xml version="1.0" encoding="utf-8"?>
<styleSheet xmlns="http://schemas.openxmlformats.org/spreadsheetml/2006/main">
  <numFmts count="14">
    <numFmt numFmtId="43" formatCode="_-* #,##0.00\ _г_р_н_._-;\-* #,##0.00\ _г_р_н_._-;_-* &quot;-&quot;??\ _г_р_н_.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₴_-;\-* #,##0.00_₴_-;_-* &quot;-&quot;??_₴_-;_-@_-"/>
    <numFmt numFmtId="167" formatCode="_(* #,##0.00_);_(* \(#,##0.00\);_(* &quot;-&quot;??_);_(@_)"/>
    <numFmt numFmtId="168" formatCode="0.0"/>
    <numFmt numFmtId="169" formatCode="0.00000000"/>
    <numFmt numFmtId="170" formatCode="0.000"/>
    <numFmt numFmtId="171" formatCode="0.000000"/>
    <numFmt numFmtId="172" formatCode="_-* #,##0\ _к_._-;\-* #,##0\ _к_._-;_-* &quot;-&quot;\ _к_._-;_-@_-"/>
    <numFmt numFmtId="173" formatCode="_-* #,##0.0\ _г_р_н_._-;\-* #,##0.0\ _г_р_н_._-;_-* &quot;-&quot;??\ _г_р_н_._-;_-@_-"/>
    <numFmt numFmtId="174" formatCode="_-* #,##0\ _р_._-;\-* #,##0\ _р_._-;_-* &quot;-&quot;\ _р_._-;_-@_-"/>
    <numFmt numFmtId="175" formatCode="_-* #,##0.00\ _р_._-;\-* #,##0.00\ _р_._-;_-* &quot;-&quot;??\ _р_._-;_-@_-"/>
    <numFmt numFmtId="176" formatCode="#,##0.0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0"/>
      <name val="Arial Cy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Courier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Arial Cyr"/>
    </font>
    <font>
      <b/>
      <sz val="10.5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23"/>
      <name val="Times New Roman"/>
      <family val="1"/>
      <charset val="204"/>
    </font>
    <font>
      <sz val="23"/>
      <name val="Arial Cyr"/>
      <charset val="204"/>
    </font>
    <font>
      <sz val="7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13"/>
      <name val="Times New Roman"/>
      <family val="1"/>
      <charset val="204"/>
    </font>
    <font>
      <b/>
      <sz val="8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29">
    <xf numFmtId="0" fontId="0" fillId="0" borderId="0"/>
    <xf numFmtId="0" fontId="14" fillId="0" borderId="0"/>
    <xf numFmtId="43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0" borderId="0"/>
    <xf numFmtId="0" fontId="9" fillId="0" borderId="0"/>
    <xf numFmtId="0" fontId="16" fillId="0" borderId="0"/>
    <xf numFmtId="9" fontId="34" fillId="0" borderId="0" applyFont="0" applyFill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4" borderId="0" applyNumberFormat="0" applyBorder="0" applyAlignment="0" applyProtection="0"/>
    <xf numFmtId="0" fontId="36" fillId="7" borderId="0" applyNumberFormat="0" applyBorder="0" applyAlignment="0" applyProtection="0"/>
    <xf numFmtId="0" fontId="36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7" borderId="0" applyNumberFormat="0" applyBorder="0" applyAlignment="0" applyProtection="0"/>
    <xf numFmtId="0" fontId="35" fillId="5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5" borderId="0" applyNumberFormat="0" applyBorder="0" applyAlignment="0" applyProtection="0"/>
    <xf numFmtId="0" fontId="35" fillId="15" borderId="0" applyNumberFormat="0" applyBorder="0" applyAlignment="0" applyProtection="0"/>
    <xf numFmtId="0" fontId="35" fillId="13" borderId="0" applyNumberFormat="0" applyBorder="0" applyAlignment="0" applyProtection="0"/>
    <xf numFmtId="0" fontId="35" fillId="16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2" borderId="0" applyNumberFormat="0" applyBorder="0" applyAlignment="0" applyProtection="0"/>
    <xf numFmtId="0" fontId="37" fillId="18" borderId="0" applyNumberFormat="0" applyBorder="0" applyAlignment="0" applyProtection="0"/>
    <xf numFmtId="0" fontId="37" fillId="5" borderId="0" applyNumberFormat="0" applyBorder="0" applyAlignment="0" applyProtection="0"/>
    <xf numFmtId="0" fontId="38" fillId="19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18" borderId="0" applyNumberFormat="0" applyBorder="0" applyAlignment="0" applyProtection="0"/>
    <xf numFmtId="0" fontId="38" fillId="21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18" borderId="0" applyNumberFormat="0" applyBorder="0" applyAlignment="0" applyProtection="0"/>
    <xf numFmtId="0" fontId="37" fillId="24" borderId="0" applyNumberFormat="0" applyBorder="0" applyAlignment="0" applyProtection="0"/>
    <xf numFmtId="0" fontId="39" fillId="9" borderId="0" applyNumberFormat="0" applyBorder="0" applyAlignment="0" applyProtection="0"/>
    <xf numFmtId="0" fontId="40" fillId="4" borderId="15" applyNumberFormat="0" applyAlignment="0" applyProtection="0"/>
    <xf numFmtId="0" fontId="41" fillId="25" borderId="16" applyNumberFormat="0" applyAlignment="0" applyProtection="0"/>
    <xf numFmtId="0" fontId="35" fillId="0" borderId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15" applyNumberFormat="0" applyAlignment="0" applyProtection="0"/>
    <xf numFmtId="0" fontId="48" fillId="0" borderId="20" applyNumberFormat="0" applyFill="0" applyAlignment="0" applyProtection="0"/>
    <xf numFmtId="0" fontId="49" fillId="14" borderId="0" applyNumberFormat="0" applyBorder="0" applyAlignment="0" applyProtection="0"/>
    <xf numFmtId="0" fontId="17" fillId="6" borderId="21" applyNumberFormat="0" applyFont="0" applyAlignment="0" applyProtection="0"/>
    <xf numFmtId="0" fontId="50" fillId="4" borderId="22" applyNumberFormat="0" applyAlignment="0" applyProtection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3" fillId="0" borderId="0" applyNumberFormat="0" applyFill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0" borderId="0" applyNumberFormat="0" applyBorder="0" applyAlignment="0" applyProtection="0"/>
    <xf numFmtId="0" fontId="38" fillId="18" borderId="0" applyNumberFormat="0" applyBorder="0" applyAlignment="0" applyProtection="0"/>
    <xf numFmtId="0" fontId="38" fillId="24" borderId="0" applyNumberFormat="0" applyBorder="0" applyAlignment="0" applyProtection="0"/>
    <xf numFmtId="0" fontId="54" fillId="5" borderId="15" applyNumberFormat="0" applyAlignment="0" applyProtection="0"/>
    <xf numFmtId="9" fontId="55" fillId="0" borderId="0" applyFont="0" applyFill="0" applyBorder="0" applyAlignment="0" applyProtection="0"/>
    <xf numFmtId="0" fontId="56" fillId="12" borderId="22" applyNumberFormat="0" applyAlignment="0" applyProtection="0"/>
    <xf numFmtId="0" fontId="57" fillId="12" borderId="15" applyNumberFormat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8" fontId="55" fillId="0" borderId="0" applyFill="0" applyBorder="0" applyAlignment="0" applyProtection="0"/>
    <xf numFmtId="0" fontId="58" fillId="0" borderId="24" applyNumberFormat="0" applyFill="0" applyAlignment="0" applyProtection="0"/>
    <xf numFmtId="0" fontId="58" fillId="0" borderId="24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60" fillId="0" borderId="25" applyNumberFormat="0" applyFill="0" applyAlignment="0" applyProtection="0"/>
    <xf numFmtId="0" fontId="60" fillId="0" borderId="25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5" fillId="0" borderId="0"/>
    <xf numFmtId="0" fontId="16" fillId="0" borderId="0"/>
    <xf numFmtId="0" fontId="16" fillId="0" borderId="0"/>
    <xf numFmtId="0" fontId="34" fillId="0" borderId="0"/>
    <xf numFmtId="0" fontId="35" fillId="0" borderId="0"/>
    <xf numFmtId="0" fontId="14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36" fillId="0" borderId="0"/>
    <xf numFmtId="0" fontId="61" fillId="0" borderId="26" applyNumberFormat="0" applyFill="0" applyAlignment="0" applyProtection="0"/>
    <xf numFmtId="0" fontId="62" fillId="25" borderId="16" applyNumberFormat="0" applyAlignment="0" applyProtection="0"/>
    <xf numFmtId="0" fontId="63" fillId="0" borderId="0" applyNumberFormat="0" applyFill="0" applyBorder="0" applyAlignment="0" applyProtection="0"/>
    <xf numFmtId="0" fontId="64" fillId="14" borderId="0" applyNumberFormat="0" applyBorder="0" applyAlignment="0" applyProtection="0"/>
    <xf numFmtId="0" fontId="3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8" fillId="0" borderId="0"/>
    <xf numFmtId="0" fontId="28" fillId="0" borderId="0"/>
    <xf numFmtId="0" fontId="28" fillId="0" borderId="0"/>
    <xf numFmtId="0" fontId="14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35" fillId="0" borderId="0"/>
    <xf numFmtId="0" fontId="34" fillId="0" borderId="0"/>
    <xf numFmtId="0" fontId="17" fillId="0" borderId="0"/>
    <xf numFmtId="0" fontId="5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35" fillId="0" borderId="0"/>
    <xf numFmtId="0" fontId="16" fillId="0" borderId="0"/>
    <xf numFmtId="0" fontId="16" fillId="0" borderId="0"/>
    <xf numFmtId="0" fontId="35" fillId="0" borderId="0"/>
    <xf numFmtId="0" fontId="16" fillId="0" borderId="0"/>
    <xf numFmtId="0" fontId="16" fillId="0" borderId="0"/>
    <xf numFmtId="0" fontId="35" fillId="0" borderId="0"/>
    <xf numFmtId="0" fontId="16" fillId="0" borderId="0"/>
    <xf numFmtId="0" fontId="35" fillId="0" borderId="0"/>
    <xf numFmtId="0" fontId="35" fillId="0" borderId="0"/>
    <xf numFmtId="0" fontId="35" fillId="0" borderId="0"/>
    <xf numFmtId="0" fontId="16" fillId="0" borderId="0"/>
    <xf numFmtId="0" fontId="36" fillId="0" borderId="0"/>
    <xf numFmtId="0" fontId="3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17" fillId="0" borderId="0"/>
    <xf numFmtId="0" fontId="36" fillId="0" borderId="0"/>
    <xf numFmtId="0" fontId="65" fillId="0" borderId="0"/>
    <xf numFmtId="0" fontId="3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55" fillId="0" borderId="0"/>
    <xf numFmtId="0" fontId="66" fillId="9" borderId="0" applyNumberFormat="0" applyBorder="0" applyAlignment="0" applyProtection="0"/>
    <xf numFmtId="0" fontId="67" fillId="0" borderId="0" applyNumberFormat="0" applyFill="0" applyBorder="0" applyAlignment="0" applyProtection="0"/>
    <xf numFmtId="0" fontId="35" fillId="6" borderId="21" applyNumberFormat="0" applyFont="0" applyAlignment="0" applyProtection="0"/>
    <xf numFmtId="9" fontId="1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ill="0" applyBorder="0" applyAlignment="0" applyProtection="0"/>
    <xf numFmtId="9" fontId="17" fillId="0" borderId="0" applyFont="0" applyFill="0" applyBorder="0" applyAlignment="0" applyProtection="0"/>
    <xf numFmtId="9" fontId="35" fillId="0" borderId="0" applyFill="0" applyBorder="0" applyAlignment="0" applyProtection="0"/>
    <xf numFmtId="9" fontId="14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8" fillId="0" borderId="20" applyNumberFormat="0" applyFill="0" applyAlignment="0" applyProtection="0"/>
    <xf numFmtId="0" fontId="69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70" fillId="10" borderId="0" applyNumberFormat="0" applyBorder="0" applyAlignment="0" applyProtection="0"/>
    <xf numFmtId="0" fontId="36" fillId="0" borderId="0"/>
    <xf numFmtId="0" fontId="40" fillId="4" borderId="15" applyNumberFormat="0" applyAlignment="0" applyProtection="0"/>
    <xf numFmtId="0" fontId="47" fillId="5" borderId="15" applyNumberFormat="0" applyAlignment="0" applyProtection="0"/>
    <xf numFmtId="0" fontId="17" fillId="6" borderId="21" applyNumberFormat="0" applyFont="0" applyAlignment="0" applyProtection="0"/>
    <xf numFmtId="0" fontId="50" fillId="4" borderId="22" applyNumberFormat="0" applyAlignment="0" applyProtection="0"/>
    <xf numFmtId="0" fontId="52" fillId="0" borderId="23" applyNumberFormat="0" applyFill="0" applyAlignment="0" applyProtection="0"/>
    <xf numFmtId="0" fontId="5" fillId="0" borderId="0"/>
    <xf numFmtId="0" fontId="5" fillId="0" borderId="0"/>
    <xf numFmtId="0" fontId="34" fillId="0" borderId="0"/>
    <xf numFmtId="0" fontId="5" fillId="0" borderId="0"/>
    <xf numFmtId="174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0" fontId="34" fillId="0" borderId="0"/>
  </cellStyleXfs>
  <cellXfs count="329">
    <xf numFmtId="0" fontId="0" fillId="0" borderId="0" xfId="0"/>
    <xf numFmtId="49" fontId="10" fillId="0" borderId="0" xfId="5" applyNumberFormat="1"/>
    <xf numFmtId="0" fontId="10" fillId="0" borderId="0" xfId="5" applyAlignment="1">
      <alignment vertical="top"/>
    </xf>
    <xf numFmtId="0" fontId="10" fillId="0" borderId="0" xfId="5"/>
    <xf numFmtId="0" fontId="10" fillId="0" borderId="14" xfId="5" applyBorder="1"/>
    <xf numFmtId="0" fontId="10" fillId="0" borderId="0" xfId="5" applyAlignment="1">
      <alignment horizontal="left"/>
    </xf>
    <xf numFmtId="0" fontId="19" fillId="0" borderId="0" xfId="5" applyFont="1" applyAlignment="1">
      <alignment vertical="top" wrapText="1"/>
    </xf>
    <xf numFmtId="0" fontId="19" fillId="0" borderId="1" xfId="5" applyFont="1" applyBorder="1" applyAlignment="1">
      <alignment horizontal="center" vertical="center" wrapText="1"/>
    </xf>
    <xf numFmtId="49" fontId="19" fillId="0" borderId="1" xfId="5" applyNumberFormat="1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  <xf numFmtId="0" fontId="19" fillId="0" borderId="1" xfId="5" applyFont="1" applyBorder="1" applyAlignment="1">
      <alignment vertical="center" wrapText="1"/>
    </xf>
    <xf numFmtId="0" fontId="21" fillId="0" borderId="0" xfId="5" applyFont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justify" vertical="top" wrapText="1"/>
    </xf>
    <xf numFmtId="49" fontId="20" fillId="0" borderId="1" xfId="5" applyNumberFormat="1" applyFont="1" applyBorder="1" applyAlignment="1">
      <alignment horizontal="right" vertical="center" wrapText="1"/>
    </xf>
    <xf numFmtId="0" fontId="20" fillId="0" borderId="1" xfId="5" applyFont="1" applyBorder="1" applyAlignment="1">
      <alignment vertical="center" wrapText="1"/>
    </xf>
    <xf numFmtId="0" fontId="11" fillId="0" borderId="0" xfId="5" applyFont="1"/>
    <xf numFmtId="49" fontId="10" fillId="0" borderId="0" xfId="5" applyNumberFormat="1" applyProtection="1">
      <protection locked="0"/>
    </xf>
    <xf numFmtId="0" fontId="10" fillId="0" borderId="0" xfId="5" applyProtection="1">
      <protection locked="0"/>
    </xf>
    <xf numFmtId="0" fontId="21" fillId="0" borderId="0" xfId="5" applyFont="1" applyAlignment="1" applyProtection="1">
      <alignment vertical="center"/>
      <protection locked="0"/>
    </xf>
    <xf numFmtId="4" fontId="19" fillId="0" borderId="1" xfId="5" applyNumberFormat="1" applyFont="1" applyBorder="1" applyAlignment="1" applyProtection="1">
      <alignment horizontal="center" vertical="center" wrapText="1"/>
      <protection locked="0"/>
    </xf>
    <xf numFmtId="4" fontId="23" fillId="0" borderId="1" xfId="5" applyNumberFormat="1" applyFont="1" applyBorder="1" applyAlignment="1" applyProtection="1">
      <alignment horizontal="center" vertical="center" wrapText="1"/>
      <protection locked="0"/>
    </xf>
    <xf numFmtId="0" fontId="11" fillId="0" borderId="0" xfId="5" applyFont="1" applyProtection="1">
      <protection locked="0"/>
    </xf>
    <xf numFmtId="0" fontId="19" fillId="0" borderId="1" xfId="5" applyNumberFormat="1" applyFont="1" applyBorder="1" applyAlignment="1" applyProtection="1">
      <alignment horizontal="center" vertical="center" wrapText="1"/>
      <protection locked="0"/>
    </xf>
    <xf numFmtId="0" fontId="10" fillId="0" borderId="0" xfId="5" applyNumberFormat="1" applyProtection="1">
      <protection locked="0"/>
    </xf>
    <xf numFmtId="0" fontId="21" fillId="0" borderId="0" xfId="5" applyFont="1" applyAlignment="1" applyProtection="1">
      <alignment horizontal="justify" wrapText="1"/>
      <protection locked="0"/>
    </xf>
    <xf numFmtId="0" fontId="20" fillId="0" borderId="0" xfId="5" applyFont="1" applyAlignment="1" applyProtection="1">
      <alignment horizontal="justify" vertical="top" wrapText="1"/>
      <protection locked="0"/>
    </xf>
    <xf numFmtId="4" fontId="19" fillId="0" borderId="1" xfId="5" applyNumberFormat="1" applyFont="1" applyBorder="1" applyAlignment="1" applyProtection="1">
      <alignment horizontal="center" vertical="center" wrapText="1"/>
    </xf>
    <xf numFmtId="4" fontId="23" fillId="0" borderId="1" xfId="5" applyNumberFormat="1" applyFont="1" applyBorder="1" applyAlignment="1" applyProtection="1">
      <alignment horizontal="center" vertical="center" wrapText="1"/>
    </xf>
    <xf numFmtId="0" fontId="19" fillId="0" borderId="1" xfId="5" applyNumberFormat="1" applyFont="1" applyBorder="1" applyAlignment="1" applyProtection="1">
      <alignment horizontal="center" vertical="center" wrapText="1"/>
    </xf>
    <xf numFmtId="0" fontId="19" fillId="0" borderId="1" xfId="5" applyFont="1" applyBorder="1" applyAlignment="1" applyProtection="1">
      <alignment horizontal="center" vertical="center" wrapText="1"/>
      <protection locked="0"/>
    </xf>
    <xf numFmtId="49" fontId="10" fillId="0" borderId="0" xfId="5" applyNumberFormat="1" applyFill="1" applyProtection="1"/>
    <xf numFmtId="0" fontId="10" fillId="0" borderId="0" xfId="5" applyFill="1" applyProtection="1"/>
    <xf numFmtId="0" fontId="10" fillId="0" borderId="0" xfId="5" applyFill="1" applyAlignment="1" applyProtection="1">
      <alignment wrapText="1"/>
    </xf>
    <xf numFmtId="0" fontId="10" fillId="0" borderId="0" xfId="5" applyProtection="1"/>
    <xf numFmtId="0" fontId="19" fillId="0" borderId="1" xfId="5" applyFont="1" applyFill="1" applyBorder="1" applyAlignment="1" applyProtection="1">
      <alignment horizontal="center" vertical="center" wrapText="1"/>
    </xf>
    <xf numFmtId="49" fontId="20" fillId="0" borderId="1" xfId="5" applyNumberFormat="1" applyFont="1" applyFill="1" applyBorder="1" applyAlignment="1" applyProtection="1">
      <alignment horizontal="right" vertical="center" wrapText="1"/>
    </xf>
    <xf numFmtId="0" fontId="20" fillId="0" borderId="1" xfId="5" applyFont="1" applyFill="1" applyBorder="1" applyAlignment="1" applyProtection="1">
      <alignment vertical="center" wrapText="1"/>
    </xf>
    <xf numFmtId="0" fontId="20" fillId="0" borderId="1" xfId="5" applyFont="1" applyFill="1" applyBorder="1" applyAlignment="1" applyProtection="1">
      <alignment horizontal="center" vertical="center" wrapText="1"/>
    </xf>
    <xf numFmtId="2" fontId="26" fillId="0" borderId="1" xfId="5" applyNumberFormat="1" applyFont="1" applyFill="1" applyBorder="1" applyAlignment="1" applyProtection="1">
      <alignment horizontal="center" vertical="center" wrapText="1"/>
    </xf>
    <xf numFmtId="4" fontId="26" fillId="0" borderId="1" xfId="5" applyNumberFormat="1" applyFont="1" applyFill="1" applyBorder="1" applyAlignment="1" applyProtection="1">
      <alignment horizontal="center" vertical="center" wrapText="1"/>
    </xf>
    <xf numFmtId="0" fontId="12" fillId="0" borderId="0" xfId="5" applyFont="1" applyFill="1" applyAlignment="1" applyProtection="1">
      <alignment vertical="top"/>
    </xf>
    <xf numFmtId="0" fontId="12" fillId="0" borderId="0" xfId="5" applyFont="1" applyFill="1" applyProtection="1"/>
    <xf numFmtId="49" fontId="10" fillId="0" borderId="0" xfId="5" applyNumberFormat="1" applyProtection="1"/>
    <xf numFmtId="0" fontId="21" fillId="0" borderId="0" xfId="5" applyFont="1" applyAlignment="1" applyProtection="1">
      <alignment horizontal="justify" wrapText="1"/>
    </xf>
    <xf numFmtId="0" fontId="20" fillId="0" borderId="0" xfId="5" applyFont="1" applyAlignment="1" applyProtection="1">
      <alignment horizontal="justify" vertical="top" wrapText="1"/>
    </xf>
    <xf numFmtId="0" fontId="10" fillId="0" borderId="0" xfId="5" applyAlignment="1" applyProtection="1">
      <alignment horizontal="center" vertical="center"/>
    </xf>
    <xf numFmtId="4" fontId="23" fillId="3" borderId="1" xfId="5" applyNumberFormat="1" applyFont="1" applyFill="1" applyBorder="1" applyAlignment="1" applyProtection="1">
      <alignment horizontal="center" vertical="center" wrapText="1"/>
    </xf>
    <xf numFmtId="0" fontId="20" fillId="0" borderId="1" xfId="6" applyFont="1" applyBorder="1" applyAlignment="1">
      <alignment horizontal="center" vertical="center" wrapText="1"/>
    </xf>
    <xf numFmtId="0" fontId="19" fillId="0" borderId="1" xfId="6" applyFont="1" applyBorder="1" applyAlignment="1">
      <alignment horizontal="center" vertical="center" wrapText="1"/>
    </xf>
    <xf numFmtId="0" fontId="9" fillId="0" borderId="0" xfId="6"/>
    <xf numFmtId="0" fontId="20" fillId="0" borderId="1" xfId="6" applyFont="1" applyBorder="1" applyAlignment="1">
      <alignment horizontal="center" vertical="center"/>
    </xf>
    <xf numFmtId="0" fontId="20" fillId="0" borderId="1" xfId="6" applyFont="1" applyBorder="1" applyAlignment="1">
      <alignment vertical="center" wrapText="1"/>
    </xf>
    <xf numFmtId="0" fontId="27" fillId="0" borderId="1" xfId="6" applyFont="1" applyBorder="1" applyAlignment="1">
      <alignment horizontal="center" vertical="center" wrapText="1"/>
    </xf>
    <xf numFmtId="0" fontId="27" fillId="0" borderId="1" xfId="6" applyFont="1" applyBorder="1" applyAlignment="1">
      <alignment horizontal="center" vertical="center"/>
    </xf>
    <xf numFmtId="0" fontId="21" fillId="0" borderId="0" xfId="6" applyFont="1" applyAlignment="1">
      <alignment vertical="center"/>
    </xf>
    <xf numFmtId="0" fontId="20" fillId="0" borderId="0" xfId="6" applyFont="1"/>
    <xf numFmtId="49" fontId="9" fillId="0" borderId="0" xfId="6" applyNumberFormat="1"/>
    <xf numFmtId="49" fontId="20" fillId="0" borderId="1" xfId="6" applyNumberFormat="1" applyFont="1" applyBorder="1" applyAlignment="1">
      <alignment horizontal="center" vertical="center" wrapText="1"/>
    </xf>
    <xf numFmtId="0" fontId="21" fillId="0" borderId="1" xfId="6" applyFont="1" applyBorder="1" applyAlignment="1">
      <alignment horizontal="center" vertical="center" wrapText="1"/>
    </xf>
    <xf numFmtId="49" fontId="20" fillId="0" borderId="1" xfId="6" applyNumberFormat="1" applyFont="1" applyBorder="1" applyAlignment="1">
      <alignment horizontal="right" vertical="center" wrapText="1"/>
    </xf>
    <xf numFmtId="0" fontId="21" fillId="0" borderId="0" xfId="6" applyFont="1" applyAlignment="1">
      <alignment horizontal="justify" wrapText="1"/>
    </xf>
    <xf numFmtId="0" fontId="20" fillId="0" borderId="0" xfId="6" applyFont="1" applyAlignment="1">
      <alignment horizontal="justify" vertical="top" wrapText="1"/>
    </xf>
    <xf numFmtId="49" fontId="9" fillId="0" borderId="0" xfId="6" applyNumberFormat="1" applyAlignment="1">
      <alignment horizontal="right"/>
    </xf>
    <xf numFmtId="0" fontId="11" fillId="0" borderId="0" xfId="6" applyFont="1"/>
    <xf numFmtId="0" fontId="19" fillId="0" borderId="1" xfId="5" applyFont="1" applyFill="1" applyBorder="1" applyAlignment="1" applyProtection="1">
      <alignment horizontal="center" vertical="center" wrapText="1"/>
      <protection locked="0"/>
    </xf>
    <xf numFmtId="0" fontId="19" fillId="0" borderId="1" xfId="5" applyFont="1" applyFill="1" applyBorder="1" applyAlignment="1" applyProtection="1">
      <alignment horizontal="center" vertical="center"/>
      <protection locked="0"/>
    </xf>
    <xf numFmtId="0" fontId="19" fillId="0" borderId="1" xfId="5" applyFont="1" applyBorder="1" applyAlignment="1" applyProtection="1">
      <alignment horizontal="center" vertical="center"/>
      <protection locked="0"/>
    </xf>
    <xf numFmtId="1" fontId="19" fillId="0" borderId="1" xfId="6" applyNumberFormat="1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2" fontId="19" fillId="0" borderId="1" xfId="5" applyNumberFormat="1" applyFont="1" applyBorder="1" applyAlignment="1" applyProtection="1">
      <alignment horizontal="center" vertical="center" wrapText="1"/>
    </xf>
    <xf numFmtId="2" fontId="19" fillId="0" borderId="1" xfId="5" applyNumberFormat="1" applyFont="1" applyFill="1" applyBorder="1" applyAlignment="1" applyProtection="1">
      <alignment horizontal="center" vertical="center"/>
    </xf>
    <xf numFmtId="0" fontId="19" fillId="0" borderId="1" xfId="5" applyFont="1" applyFill="1" applyBorder="1" applyAlignment="1" applyProtection="1">
      <alignment horizontal="center" vertical="center"/>
    </xf>
    <xf numFmtId="0" fontId="10" fillId="0" borderId="0" xfId="5" applyAlignment="1" applyProtection="1">
      <alignment horizontal="center" vertical="center" wrapText="1"/>
    </xf>
    <xf numFmtId="49" fontId="8" fillId="0" borderId="1" xfId="5" applyNumberFormat="1" applyFont="1" applyBorder="1" applyAlignment="1">
      <alignment wrapText="1"/>
    </xf>
    <xf numFmtId="0" fontId="8" fillId="0" borderId="1" xfId="5" applyFont="1" applyBorder="1" applyAlignment="1">
      <alignment horizontal="center" vertical="center" wrapText="1"/>
    </xf>
    <xf numFmtId="0" fontId="10" fillId="0" borderId="1" xfId="5" applyBorder="1" applyAlignment="1">
      <alignment horizontal="center" vertical="center"/>
    </xf>
    <xf numFmtId="2" fontId="10" fillId="0" borderId="1" xfId="5" applyNumberFormat="1" applyBorder="1" applyAlignment="1">
      <alignment horizontal="center" vertical="center"/>
    </xf>
    <xf numFmtId="0" fontId="19" fillId="0" borderId="1" xfId="5" applyFont="1" applyBorder="1" applyAlignment="1">
      <alignment horizontal="center" vertical="center" wrapText="1"/>
    </xf>
    <xf numFmtId="49" fontId="7" fillId="0" borderId="1" xfId="5" applyNumberFormat="1" applyFont="1" applyBorder="1" applyAlignment="1">
      <alignment wrapText="1"/>
    </xf>
    <xf numFmtId="0" fontId="7" fillId="0" borderId="1" xfId="5" applyFont="1" applyBorder="1" applyAlignment="1">
      <alignment horizontal="center" vertical="center" wrapText="1"/>
    </xf>
    <xf numFmtId="171" fontId="10" fillId="0" borderId="1" xfId="5" applyNumberFormat="1" applyBorder="1" applyAlignment="1">
      <alignment horizontal="center" vertical="center"/>
    </xf>
    <xf numFmtId="0" fontId="10" fillId="0" borderId="8" xfId="5" applyBorder="1" applyAlignment="1">
      <alignment horizontal="center" vertical="center"/>
    </xf>
    <xf numFmtId="2" fontId="10" fillId="0" borderId="2" xfId="5" applyNumberFormat="1" applyBorder="1" applyAlignment="1">
      <alignment horizontal="center" vertical="center"/>
    </xf>
    <xf numFmtId="171" fontId="10" fillId="0" borderId="3" xfId="5" applyNumberFormat="1" applyBorder="1" applyAlignment="1">
      <alignment horizontal="center" vertical="center"/>
    </xf>
    <xf numFmtId="171" fontId="32" fillId="2" borderId="6" xfId="5" applyNumberFormat="1" applyFont="1" applyFill="1" applyBorder="1" applyAlignment="1">
      <alignment horizontal="center" vertical="center"/>
    </xf>
    <xf numFmtId="0" fontId="19" fillId="0" borderId="7" xfId="5" applyFont="1" applyBorder="1" applyAlignment="1" applyProtection="1">
      <alignment horizontal="center" vertical="center"/>
      <protection locked="0"/>
    </xf>
    <xf numFmtId="169" fontId="10" fillId="0" borderId="0" xfId="5" applyNumberFormat="1" applyProtection="1"/>
    <xf numFmtId="0" fontId="19" fillId="0" borderId="1" xfId="5" applyFont="1" applyBorder="1" applyAlignment="1" applyProtection="1">
      <alignment horizontal="center" vertical="center" wrapText="1"/>
    </xf>
    <xf numFmtId="49" fontId="19" fillId="0" borderId="1" xfId="5" applyNumberFormat="1" applyFont="1" applyBorder="1" applyAlignment="1" applyProtection="1">
      <alignment horizontal="center" vertical="center" wrapText="1"/>
    </xf>
    <xf numFmtId="49" fontId="19" fillId="0" borderId="1" xfId="5" applyNumberFormat="1" applyFont="1" applyBorder="1" applyAlignment="1" applyProtection="1">
      <alignment horizontal="right" vertical="center" wrapText="1"/>
    </xf>
    <xf numFmtId="0" fontId="19" fillId="0" borderId="1" xfId="5" applyFont="1" applyBorder="1" applyAlignment="1" applyProtection="1">
      <alignment vertical="center" wrapText="1"/>
    </xf>
    <xf numFmtId="49" fontId="23" fillId="0" borderId="1" xfId="5" applyNumberFormat="1" applyFont="1" applyBorder="1" applyAlignment="1" applyProtection="1">
      <alignment horizontal="right" vertical="center" wrapText="1"/>
    </xf>
    <xf numFmtId="0" fontId="23" fillId="0" borderId="1" xfId="5" applyFont="1" applyBorder="1" applyAlignment="1" applyProtection="1">
      <alignment vertical="center" wrapText="1"/>
    </xf>
    <xf numFmtId="0" fontId="23" fillId="0" borderId="1" xfId="5" applyFont="1" applyBorder="1" applyAlignment="1" applyProtection="1">
      <alignment horizontal="center" vertical="center" wrapText="1"/>
    </xf>
    <xf numFmtId="0" fontId="20" fillId="0" borderId="0" xfId="5" applyFont="1" applyProtection="1"/>
    <xf numFmtId="49" fontId="18" fillId="0" borderId="1" xfId="5" applyNumberFormat="1" applyFont="1" applyBorder="1" applyAlignment="1" applyProtection="1">
      <alignment horizontal="right" vertical="center" wrapText="1"/>
    </xf>
    <xf numFmtId="0" fontId="18" fillId="0" borderId="1" xfId="5" applyFont="1" applyBorder="1" applyAlignment="1" applyProtection="1">
      <alignment vertical="center" wrapText="1"/>
    </xf>
    <xf numFmtId="49" fontId="24" fillId="0" borderId="1" xfId="5" applyNumberFormat="1" applyFont="1" applyBorder="1" applyAlignment="1" applyProtection="1">
      <alignment horizontal="right" vertical="center" wrapText="1"/>
    </xf>
    <xf numFmtId="0" fontId="24" fillId="0" borderId="1" xfId="5" applyFont="1" applyBorder="1" applyAlignment="1" applyProtection="1">
      <alignment vertical="center" wrapText="1"/>
    </xf>
    <xf numFmtId="0" fontId="18" fillId="0" borderId="1" xfId="5" applyNumberFormat="1" applyFont="1" applyBorder="1" applyAlignment="1" applyProtection="1">
      <alignment horizontal="right" vertical="center" wrapText="1"/>
    </xf>
    <xf numFmtId="0" fontId="18" fillId="0" borderId="1" xfId="5" applyNumberFormat="1" applyFont="1" applyBorder="1" applyAlignment="1" applyProtection="1">
      <alignment vertical="center" wrapText="1"/>
    </xf>
    <xf numFmtId="0" fontId="12" fillId="0" borderId="0" xfId="5" applyFont="1" applyAlignment="1" applyProtection="1">
      <alignment vertical="center"/>
    </xf>
    <xf numFmtId="0" fontId="12" fillId="0" borderId="0" xfId="5" applyFont="1" applyProtection="1"/>
    <xf numFmtId="3" fontId="10" fillId="0" borderId="0" xfId="5" applyNumberFormat="1" applyProtection="1"/>
    <xf numFmtId="0" fontId="20" fillId="0" borderId="1" xfId="5" applyFont="1" applyBorder="1" applyAlignment="1" applyProtection="1">
      <alignment horizontal="center" vertical="center" wrapText="1"/>
    </xf>
    <xf numFmtId="49" fontId="20" fillId="0" borderId="1" xfId="5" applyNumberFormat="1" applyFont="1" applyBorder="1" applyAlignment="1" applyProtection="1">
      <alignment horizontal="right" vertical="center" wrapText="1"/>
    </xf>
    <xf numFmtId="0" fontId="20" fillId="0" borderId="1" xfId="5" applyFont="1" applyBorder="1" applyAlignment="1" applyProtection="1">
      <alignment vertical="center" wrapText="1"/>
    </xf>
    <xf numFmtId="49" fontId="25" fillId="0" borderId="1" xfId="5" applyNumberFormat="1" applyFont="1" applyBorder="1" applyAlignment="1" applyProtection="1">
      <alignment horizontal="right" vertical="center" wrapText="1"/>
    </xf>
    <xf numFmtId="0" fontId="25" fillId="0" borderId="1" xfId="5" applyFont="1" applyBorder="1" applyAlignment="1" applyProtection="1">
      <alignment vertical="center" wrapText="1"/>
    </xf>
    <xf numFmtId="0" fontId="19" fillId="0" borderId="1" xfId="5" applyFont="1" applyBorder="1" applyAlignment="1">
      <alignment horizontal="center" vertical="center" wrapText="1"/>
    </xf>
    <xf numFmtId="0" fontId="20" fillId="0" borderId="1" xfId="5" applyFont="1" applyBorder="1" applyAlignment="1" applyProtection="1">
      <alignment horizontal="center" vertical="center" wrapText="1"/>
    </xf>
    <xf numFmtId="0" fontId="19" fillId="0" borderId="1" xfId="5" applyFont="1" applyBorder="1" applyAlignment="1" applyProtection="1">
      <alignment horizontal="center" vertical="center" wrapText="1"/>
    </xf>
    <xf numFmtId="0" fontId="19" fillId="0" borderId="1" xfId="5" applyFont="1" applyFill="1" applyBorder="1" applyAlignment="1" applyProtection="1">
      <alignment horizontal="center" vertical="center" wrapText="1"/>
    </xf>
    <xf numFmtId="49" fontId="6" fillId="0" borderId="1" xfId="5" applyNumberFormat="1" applyFont="1" applyBorder="1" applyAlignment="1">
      <alignment wrapText="1"/>
    </xf>
    <xf numFmtId="0" fontId="6" fillId="0" borderId="1" xfId="5" applyFont="1" applyBorder="1" applyAlignment="1">
      <alignment horizontal="center" vertical="center" wrapText="1"/>
    </xf>
    <xf numFmtId="0" fontId="19" fillId="0" borderId="0" xfId="5" applyFont="1" applyFill="1" applyBorder="1" applyAlignment="1" applyProtection="1">
      <alignment horizontal="left" vertical="top" wrapText="1"/>
    </xf>
    <xf numFmtId="0" fontId="10" fillId="0" borderId="0" xfId="5" applyAlignment="1" applyProtection="1">
      <alignment wrapText="1"/>
    </xf>
    <xf numFmtId="0" fontId="33" fillId="0" borderId="1" xfId="6" applyFont="1" applyBorder="1" applyAlignment="1">
      <alignment horizontal="center" vertical="center" wrapText="1"/>
    </xf>
    <xf numFmtId="0" fontId="19" fillId="0" borderId="1" xfId="6" applyFont="1" applyFill="1" applyBorder="1" applyAlignment="1">
      <alignment horizontal="center" vertical="center" wrapText="1"/>
    </xf>
    <xf numFmtId="49" fontId="9" fillId="0" borderId="0" xfId="6" applyNumberFormat="1" applyFill="1" applyAlignment="1">
      <alignment horizontal="right"/>
    </xf>
    <xf numFmtId="0" fontId="9" fillId="0" borderId="0" xfId="6" applyFill="1"/>
    <xf numFmtId="0" fontId="9" fillId="0" borderId="0" xfId="6" applyFill="1" applyAlignment="1">
      <alignment horizontal="center"/>
    </xf>
    <xf numFmtId="0" fontId="9" fillId="0" borderId="0" xfId="6" applyFill="1" applyBorder="1" applyAlignment="1">
      <alignment horizontal="center"/>
    </xf>
    <xf numFmtId="0" fontId="13" fillId="0" borderId="0" xfId="6" applyFont="1" applyFill="1" applyBorder="1" applyAlignment="1">
      <alignment horizontal="center" vertical="top"/>
    </xf>
    <xf numFmtId="0" fontId="20" fillId="0" borderId="1" xfId="6" applyFont="1" applyFill="1" applyBorder="1" applyAlignment="1">
      <alignment horizontal="center" vertical="center" wrapText="1"/>
    </xf>
    <xf numFmtId="49" fontId="25" fillId="0" borderId="1" xfId="6" applyNumberFormat="1" applyFont="1" applyFill="1" applyBorder="1" applyAlignment="1">
      <alignment horizontal="center" vertical="center" wrapText="1"/>
    </xf>
    <xf numFmtId="0" fontId="25" fillId="0" borderId="1" xfId="6" applyFont="1" applyFill="1" applyBorder="1" applyAlignment="1">
      <alignment horizontal="center" vertical="center" wrapText="1"/>
    </xf>
    <xf numFmtId="0" fontId="20" fillId="0" borderId="1" xfId="6" applyFont="1" applyFill="1" applyBorder="1" applyAlignment="1">
      <alignment vertical="center" wrapText="1"/>
    </xf>
    <xf numFmtId="3" fontId="19" fillId="0" borderId="1" xfId="6" applyNumberFormat="1" applyFont="1" applyFill="1" applyBorder="1" applyAlignment="1">
      <alignment horizontal="center" vertical="center" wrapText="1"/>
    </xf>
    <xf numFmtId="0" fontId="19" fillId="0" borderId="1" xfId="6" applyNumberFormat="1" applyFont="1" applyFill="1" applyBorder="1" applyAlignment="1">
      <alignment horizontal="center" vertical="center" wrapText="1"/>
    </xf>
    <xf numFmtId="4" fontId="19" fillId="0" borderId="1" xfId="6" applyNumberFormat="1" applyFont="1" applyFill="1" applyBorder="1" applyAlignment="1">
      <alignment horizontal="center" vertical="center" wrapText="1"/>
    </xf>
    <xf numFmtId="2" fontId="19" fillId="0" borderId="1" xfId="6" applyNumberFormat="1" applyFont="1" applyFill="1" applyBorder="1" applyAlignment="1">
      <alignment horizontal="center" vertical="center" wrapText="1"/>
    </xf>
    <xf numFmtId="170" fontId="19" fillId="0" borderId="1" xfId="6" applyNumberFormat="1" applyFont="1" applyFill="1" applyBorder="1" applyAlignment="1">
      <alignment horizontal="center" vertical="center" wrapText="1"/>
    </xf>
    <xf numFmtId="3" fontId="19" fillId="0" borderId="1" xfId="6" applyNumberFormat="1" applyFont="1" applyBorder="1" applyAlignment="1">
      <alignment horizontal="center" vertical="center" wrapText="1"/>
    </xf>
    <xf numFmtId="0" fontId="19" fillId="0" borderId="1" xfId="6" applyFont="1" applyBorder="1" applyAlignment="1" applyProtection="1">
      <alignment horizontal="center" vertical="center" wrapText="1"/>
      <protection locked="0"/>
    </xf>
    <xf numFmtId="49" fontId="19" fillId="0" borderId="1" xfId="5" applyNumberFormat="1" applyFont="1" applyBorder="1" applyAlignment="1" applyProtection="1">
      <alignment horizontal="center" vertical="center" wrapText="1"/>
      <protection locked="0"/>
    </xf>
    <xf numFmtId="0" fontId="19" fillId="0" borderId="1" xfId="5" applyFont="1" applyBorder="1" applyAlignment="1" applyProtection="1">
      <alignment vertical="center" wrapText="1"/>
      <protection locked="0"/>
    </xf>
    <xf numFmtId="0" fontId="19" fillId="0" borderId="1" xfId="5" applyFont="1" applyBorder="1" applyAlignment="1" applyProtection="1">
      <alignment horizontal="center" vertical="center" wrapText="1"/>
    </xf>
    <xf numFmtId="49" fontId="19" fillId="0" borderId="1" xfId="5" applyNumberFormat="1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  <xf numFmtId="0" fontId="19" fillId="0" borderId="1" xfId="5" applyFont="1" applyBorder="1" applyAlignment="1">
      <alignment horizontal="center" vertical="center" wrapText="1"/>
    </xf>
    <xf numFmtId="0" fontId="20" fillId="0" borderId="1" xfId="5" applyFont="1" applyFill="1" applyBorder="1" applyAlignment="1" applyProtection="1">
      <alignment horizontal="center" vertical="center" wrapText="1"/>
    </xf>
    <xf numFmtId="0" fontId="19" fillId="0" borderId="1" xfId="5" applyFont="1" applyBorder="1" applyAlignment="1" applyProtection="1">
      <alignment horizontal="center" vertical="center" wrapText="1"/>
    </xf>
    <xf numFmtId="0" fontId="9" fillId="0" borderId="0" xfId="6" applyAlignment="1">
      <alignment horizontal="left" wrapText="1"/>
    </xf>
    <xf numFmtId="49" fontId="19" fillId="0" borderId="0" xfId="5" applyNumberFormat="1" applyFont="1" applyBorder="1" applyAlignment="1" applyProtection="1">
      <alignment horizontal="right" vertical="center" wrapText="1"/>
    </xf>
    <xf numFmtId="0" fontId="26" fillId="0" borderId="0" xfId="5" applyFont="1" applyBorder="1" applyAlignment="1" applyProtection="1">
      <alignment horizontal="center" vertical="center" wrapText="1"/>
      <protection locked="0"/>
    </xf>
    <xf numFmtId="0" fontId="19" fillId="0" borderId="0" xfId="5" applyFont="1" applyBorder="1" applyAlignment="1" applyProtection="1">
      <alignment horizontal="left" vertical="center" wrapText="1"/>
    </xf>
    <xf numFmtId="0" fontId="4" fillId="0" borderId="0" xfId="5" applyFont="1" applyProtection="1"/>
    <xf numFmtId="0" fontId="4" fillId="0" borderId="0" xfId="5" applyFont="1" applyAlignment="1">
      <alignment vertical="top" wrapText="1"/>
    </xf>
    <xf numFmtId="49" fontId="20" fillId="0" borderId="1" xfId="6" applyNumberFormat="1" applyFont="1" applyFill="1" applyBorder="1" applyAlignment="1">
      <alignment horizontal="center" vertical="center" wrapText="1"/>
    </xf>
    <xf numFmtId="0" fontId="19" fillId="0" borderId="0" xfId="5" applyFont="1" applyFill="1" applyBorder="1" applyAlignment="1" applyProtection="1">
      <alignment horizontal="left" vertical="top" wrapText="1"/>
    </xf>
    <xf numFmtId="0" fontId="19" fillId="0" borderId="1" xfId="5" applyFont="1" applyBorder="1" applyAlignment="1" applyProtection="1">
      <alignment horizontal="center" vertical="center" wrapText="1"/>
    </xf>
    <xf numFmtId="0" fontId="2" fillId="0" borderId="0" xfId="5" applyFont="1" applyAlignment="1">
      <alignment horizontal="center" wrapText="1"/>
    </xf>
    <xf numFmtId="0" fontId="10" fillId="0" borderId="1" xfId="5" applyBorder="1"/>
    <xf numFmtId="0" fontId="10" fillId="0" borderId="0" xfId="5" applyBorder="1"/>
    <xf numFmtId="0" fontId="19" fillId="0" borderId="1" xfId="5" applyFont="1" applyFill="1" applyBorder="1" applyAlignment="1" applyProtection="1">
      <alignment horizontal="center" vertical="center" wrapText="1"/>
    </xf>
    <xf numFmtId="0" fontId="19" fillId="0" borderId="8" xfId="5" applyFont="1" applyFill="1" applyBorder="1" applyAlignment="1" applyProtection="1">
      <alignment horizontal="center" vertical="center" wrapText="1"/>
      <protection locked="0"/>
    </xf>
    <xf numFmtId="4" fontId="26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5" applyFont="1" applyFill="1" applyBorder="1" applyAlignment="1" applyProtection="1">
      <alignment horizontal="center" vertical="center" wrapText="1"/>
    </xf>
    <xf numFmtId="0" fontId="74" fillId="0" borderId="1" xfId="0" applyFont="1" applyBorder="1" applyAlignment="1">
      <alignment horizontal="center" vertical="top" wrapText="1"/>
    </xf>
    <xf numFmtId="2" fontId="74" fillId="0" borderId="1" xfId="0" applyNumberFormat="1" applyFont="1" applyBorder="1" applyAlignment="1">
      <alignment horizontal="center" vertical="top" wrapText="1"/>
    </xf>
    <xf numFmtId="170" fontId="74" fillId="0" borderId="1" xfId="0" applyNumberFormat="1" applyFont="1" applyBorder="1" applyAlignment="1">
      <alignment horizontal="center" vertical="top" wrapText="1"/>
    </xf>
    <xf numFmtId="2" fontId="75" fillId="0" borderId="1" xfId="0" applyNumberFormat="1" applyFont="1" applyBorder="1" applyAlignment="1">
      <alignment horizontal="center" wrapText="1"/>
    </xf>
    <xf numFmtId="2" fontId="19" fillId="0" borderId="1" xfId="5" applyNumberFormat="1" applyFont="1" applyFill="1" applyBorder="1" applyAlignment="1" applyProtection="1">
      <alignment horizontal="center" vertical="center" wrapText="1"/>
      <protection locked="0"/>
    </xf>
    <xf numFmtId="2" fontId="19" fillId="0" borderId="1" xfId="5" applyNumberFormat="1" applyFont="1" applyFill="1" applyBorder="1" applyAlignment="1" applyProtection="1">
      <alignment horizontal="center" vertical="center"/>
      <protection locked="0"/>
    </xf>
    <xf numFmtId="2" fontId="19" fillId="0" borderId="1" xfId="5" applyNumberFormat="1" applyFont="1" applyBorder="1" applyAlignment="1" applyProtection="1">
      <alignment horizontal="center" vertical="center"/>
      <protection locked="0"/>
    </xf>
    <xf numFmtId="1" fontId="19" fillId="0" borderId="1" xfId="5" applyNumberFormat="1" applyFont="1" applyFill="1" applyBorder="1" applyAlignment="1" applyProtection="1">
      <alignment horizontal="center" vertical="center" wrapText="1"/>
      <protection locked="0"/>
    </xf>
    <xf numFmtId="2" fontId="75" fillId="0" borderId="1" xfId="0" applyNumberFormat="1" applyFont="1" applyBorder="1" applyAlignment="1">
      <alignment horizontal="center" vertical="top" wrapText="1"/>
    </xf>
    <xf numFmtId="2" fontId="28" fillId="0" borderId="1" xfId="0" applyNumberFormat="1" applyFont="1" applyBorder="1" applyAlignment="1">
      <alignment horizontal="center" vertical="top" wrapText="1"/>
    </xf>
    <xf numFmtId="2" fontId="10" fillId="0" borderId="0" xfId="5" applyNumberFormat="1"/>
    <xf numFmtId="2" fontId="19" fillId="0" borderId="7" xfId="5" applyNumberFormat="1" applyFont="1" applyBorder="1" applyAlignment="1" applyProtection="1">
      <alignment horizontal="center" vertical="center"/>
      <protection locked="0"/>
    </xf>
    <xf numFmtId="2" fontId="19" fillId="0" borderId="1" xfId="5" applyNumberFormat="1" applyFont="1" applyFill="1" applyBorder="1" applyAlignment="1" applyProtection="1">
      <alignment horizontal="center" vertical="center" wrapText="1"/>
    </xf>
    <xf numFmtId="2" fontId="75" fillId="0" borderId="8" xfId="0" applyNumberFormat="1" applyFont="1" applyBorder="1" applyAlignment="1">
      <alignment horizontal="center" vertical="top" wrapText="1"/>
    </xf>
    <xf numFmtId="2" fontId="19" fillId="0" borderId="8" xfId="5" applyNumberFormat="1" applyFont="1" applyFill="1" applyBorder="1" applyAlignment="1" applyProtection="1">
      <alignment horizontal="center" vertical="center"/>
    </xf>
    <xf numFmtId="2" fontId="75" fillId="0" borderId="8" xfId="0" applyNumberFormat="1" applyFont="1" applyBorder="1" applyAlignment="1">
      <alignment horizontal="center" wrapText="1"/>
    </xf>
    <xf numFmtId="2" fontId="75" fillId="0" borderId="7" xfId="0" applyNumberFormat="1" applyFont="1" applyBorder="1" applyAlignment="1">
      <alignment horizontal="center" vertical="top" wrapText="1"/>
    </xf>
    <xf numFmtId="2" fontId="75" fillId="0" borderId="7" xfId="0" applyNumberFormat="1" applyFont="1" applyBorder="1" applyAlignment="1">
      <alignment horizontal="center" wrapText="1"/>
    </xf>
    <xf numFmtId="0" fontId="1" fillId="0" borderId="0" xfId="5" applyFont="1"/>
    <xf numFmtId="0" fontId="1" fillId="0" borderId="0" xfId="5" applyFont="1" applyProtection="1"/>
    <xf numFmtId="10" fontId="26" fillId="0" borderId="1" xfId="5" applyNumberFormat="1" applyFont="1" applyFill="1" applyBorder="1" applyAlignment="1" applyProtection="1">
      <alignment horizontal="center" vertical="center" wrapText="1"/>
    </xf>
    <xf numFmtId="2" fontId="27" fillId="0" borderId="1" xfId="6" applyNumberFormat="1" applyFont="1" applyBorder="1" applyAlignment="1">
      <alignment horizontal="center" vertical="center" wrapText="1"/>
    </xf>
    <xf numFmtId="170" fontId="27" fillId="0" borderId="1" xfId="6" applyNumberFormat="1" applyFont="1" applyBorder="1" applyAlignment="1">
      <alignment horizontal="center" vertical="center" wrapText="1"/>
    </xf>
    <xf numFmtId="170" fontId="27" fillId="0" borderId="1" xfId="6" applyNumberFormat="1" applyFont="1" applyBorder="1" applyAlignment="1">
      <alignment horizontal="center" vertical="center"/>
    </xf>
    <xf numFmtId="2" fontId="27" fillId="0" borderId="1" xfId="6" applyNumberFormat="1" applyFont="1" applyBorder="1" applyAlignment="1">
      <alignment horizontal="center" vertical="center"/>
    </xf>
    <xf numFmtId="170" fontId="20" fillId="0" borderId="1" xfId="6" applyNumberFormat="1" applyFont="1" applyBorder="1" applyAlignment="1">
      <alignment horizontal="center" vertical="center"/>
    </xf>
    <xf numFmtId="0" fontId="1" fillId="0" borderId="0" xfId="6" applyFont="1"/>
    <xf numFmtId="0" fontId="76" fillId="0" borderId="0" xfId="6" applyFont="1" applyAlignment="1">
      <alignment horizontal="center" vertical="center" wrapText="1"/>
    </xf>
    <xf numFmtId="0" fontId="76" fillId="0" borderId="0" xfId="6" applyFont="1" applyAlignment="1">
      <alignment horizontal="right" wrapText="1"/>
    </xf>
    <xf numFmtId="0" fontId="28" fillId="0" borderId="1" xfId="6" applyFont="1" applyBorder="1" applyAlignment="1">
      <alignment horizontal="center" vertical="center" wrapText="1"/>
    </xf>
    <xf numFmtId="0" fontId="28" fillId="0" borderId="1" xfId="6" applyFont="1" applyBorder="1" applyAlignment="1">
      <alignment horizontal="left" vertical="center" wrapText="1"/>
    </xf>
    <xf numFmtId="0" fontId="28" fillId="0" borderId="0" xfId="6" applyFont="1" applyAlignment="1">
      <alignment horizontal="justify" vertical="center" wrapText="1"/>
    </xf>
    <xf numFmtId="0" fontId="79" fillId="0" borderId="0" xfId="6" applyFont="1" applyAlignment="1">
      <alignment horizontal="justify" vertical="center" wrapText="1"/>
    </xf>
    <xf numFmtId="0" fontId="28" fillId="0" borderId="0" xfId="6" applyFont="1" applyAlignment="1">
      <alignment vertical="center" wrapText="1"/>
    </xf>
    <xf numFmtId="0" fontId="28" fillId="0" borderId="0" xfId="6" applyFont="1" applyAlignment="1">
      <alignment horizontal="left" vertical="center" wrapText="1"/>
    </xf>
    <xf numFmtId="0" fontId="76" fillId="0" borderId="0" xfId="6" applyFont="1" applyAlignment="1">
      <alignment vertical="top" wrapText="1"/>
    </xf>
    <xf numFmtId="2" fontId="76" fillId="0" borderId="0" xfId="6" applyNumberFormat="1" applyFont="1" applyAlignment="1">
      <alignment horizontal="center" vertical="center" wrapText="1"/>
    </xf>
    <xf numFmtId="4" fontId="33" fillId="0" borderId="1" xfId="6" applyNumberFormat="1" applyFont="1" applyBorder="1" applyAlignment="1">
      <alignment horizontal="center" vertical="center" wrapText="1"/>
    </xf>
    <xf numFmtId="2" fontId="81" fillId="0" borderId="0" xfId="6" applyNumberFormat="1" applyFont="1" applyAlignment="1">
      <alignment horizontal="center" vertical="center" wrapText="1"/>
    </xf>
    <xf numFmtId="2" fontId="33" fillId="0" borderId="1" xfId="6" applyNumberFormat="1" applyFont="1" applyBorder="1" applyAlignment="1">
      <alignment horizontal="center" vertical="center" wrapText="1"/>
    </xf>
    <xf numFmtId="2" fontId="19" fillId="0" borderId="1" xfId="6" applyNumberFormat="1" applyFont="1" applyBorder="1" applyAlignment="1">
      <alignment horizontal="center" vertical="center" wrapText="1"/>
    </xf>
    <xf numFmtId="0" fontId="19" fillId="29" borderId="1" xfId="6" applyFont="1" applyFill="1" applyBorder="1" applyAlignment="1">
      <alignment horizontal="center" vertical="center" wrapText="1"/>
    </xf>
    <xf numFmtId="4" fontId="84" fillId="0" borderId="1" xfId="5" applyNumberFormat="1" applyFont="1" applyFill="1" applyBorder="1" applyAlignment="1" applyProtection="1">
      <alignment horizontal="center" vertical="center" wrapText="1"/>
    </xf>
    <xf numFmtId="4" fontId="84" fillId="0" borderId="1" xfId="5" applyNumberFormat="1" applyFont="1" applyFill="1" applyBorder="1" applyAlignment="1" applyProtection="1">
      <alignment horizontal="center" vertical="center" wrapText="1"/>
      <protection locked="0"/>
    </xf>
    <xf numFmtId="4" fontId="85" fillId="0" borderId="1" xfId="5" applyNumberFormat="1" applyFont="1" applyFill="1" applyBorder="1" applyAlignment="1" applyProtection="1">
      <alignment horizontal="center" vertical="center" wrapText="1"/>
    </xf>
    <xf numFmtId="4" fontId="85" fillId="0" borderId="1" xfId="5" applyNumberFormat="1" applyFont="1" applyFill="1" applyBorder="1" applyAlignment="1" applyProtection="1">
      <alignment horizontal="center" vertical="center" wrapText="1"/>
      <protection locked="0"/>
    </xf>
    <xf numFmtId="4" fontId="86" fillId="0" borderId="1" xfId="5" applyNumberFormat="1" applyFont="1" applyFill="1" applyBorder="1" applyAlignment="1" applyProtection="1">
      <alignment horizontal="center" vertical="center" wrapText="1"/>
    </xf>
    <xf numFmtId="4" fontId="87" fillId="0" borderId="1" xfId="5" applyNumberFormat="1" applyFont="1" applyBorder="1" applyAlignment="1" applyProtection="1">
      <alignment horizontal="center" vertical="center" wrapText="1"/>
    </xf>
    <xf numFmtId="4" fontId="87" fillId="31" borderId="1" xfId="5" applyNumberFormat="1" applyFont="1" applyFill="1" applyBorder="1" applyAlignment="1" applyProtection="1">
      <alignment horizontal="center" vertical="center" wrapText="1"/>
    </xf>
    <xf numFmtId="4" fontId="88" fillId="32" borderId="1" xfId="5" applyNumberFormat="1" applyFont="1" applyFill="1" applyBorder="1" applyAlignment="1" applyProtection="1">
      <alignment horizontal="center" vertical="center" wrapText="1"/>
      <protection locked="0"/>
    </xf>
    <xf numFmtId="4" fontId="87" fillId="0" borderId="1" xfId="5" applyNumberFormat="1" applyFont="1" applyBorder="1" applyAlignment="1" applyProtection="1">
      <alignment horizontal="center" vertical="center" wrapText="1"/>
      <protection locked="0"/>
    </xf>
    <xf numFmtId="4" fontId="89" fillId="0" borderId="1" xfId="5" applyNumberFormat="1" applyFont="1" applyBorder="1" applyAlignment="1" applyProtection="1">
      <alignment horizontal="center" vertical="center" wrapText="1"/>
    </xf>
    <xf numFmtId="4" fontId="89" fillId="0" borderId="1" xfId="5" applyNumberFormat="1" applyFont="1" applyBorder="1" applyAlignment="1" applyProtection="1">
      <alignment horizontal="center" vertical="center" wrapText="1"/>
      <protection locked="0"/>
    </xf>
    <xf numFmtId="4" fontId="89" fillId="31" borderId="1" xfId="5" applyNumberFormat="1" applyFont="1" applyFill="1" applyBorder="1" applyAlignment="1" applyProtection="1">
      <alignment horizontal="center" vertical="center" wrapText="1"/>
    </xf>
    <xf numFmtId="0" fontId="87" fillId="0" borderId="1" xfId="5" applyNumberFormat="1" applyFont="1" applyBorder="1" applyAlignment="1" applyProtection="1">
      <alignment horizontal="center" vertical="center" wrapText="1"/>
      <protection locked="0"/>
    </xf>
    <xf numFmtId="2" fontId="87" fillId="0" borderId="1" xfId="5" applyNumberFormat="1" applyFont="1" applyBorder="1" applyAlignment="1" applyProtection="1">
      <alignment horizontal="center" vertical="center" wrapText="1"/>
    </xf>
    <xf numFmtId="0" fontId="87" fillId="0" borderId="1" xfId="5" applyNumberFormat="1" applyFont="1" applyBorder="1" applyAlignment="1" applyProtection="1">
      <alignment horizontal="center" vertical="center" wrapText="1"/>
    </xf>
    <xf numFmtId="176" fontId="87" fillId="0" borderId="1" xfId="5" applyNumberFormat="1" applyFont="1" applyBorder="1" applyAlignment="1" applyProtection="1">
      <alignment horizontal="center" vertical="center" wrapText="1"/>
      <protection locked="0"/>
    </xf>
    <xf numFmtId="0" fontId="4" fillId="0" borderId="0" xfId="5" applyFont="1" applyAlignment="1">
      <alignment horizontal="left" vertical="top" wrapText="1"/>
    </xf>
    <xf numFmtId="0" fontId="20" fillId="0" borderId="1" xfId="5" applyFont="1" applyBorder="1" applyAlignment="1">
      <alignment horizontal="center" vertical="center"/>
    </xf>
    <xf numFmtId="0" fontId="18" fillId="0" borderId="0" xfId="5" applyFont="1" applyAlignment="1" applyProtection="1">
      <alignment horizontal="center"/>
      <protection locked="0"/>
    </xf>
    <xf numFmtId="0" fontId="19" fillId="0" borderId="0" xfId="5" applyFont="1" applyAlignment="1">
      <alignment horizontal="center" vertical="center" wrapText="1"/>
    </xf>
    <xf numFmtId="49" fontId="19" fillId="0" borderId="1" xfId="5" applyNumberFormat="1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  <xf numFmtId="0" fontId="19" fillId="0" borderId="1" xfId="5" applyFont="1" applyBorder="1" applyAlignment="1">
      <alignment horizontal="center" vertical="center" wrapText="1"/>
    </xf>
    <xf numFmtId="0" fontId="19" fillId="0" borderId="9" xfId="5" applyFont="1" applyBorder="1" applyAlignment="1">
      <alignment horizontal="center" vertical="top" wrapText="1"/>
    </xf>
    <xf numFmtId="0" fontId="11" fillId="0" borderId="0" xfId="5" applyFont="1" applyAlignment="1" applyProtection="1">
      <alignment horizontal="left" wrapText="1"/>
    </xf>
    <xf numFmtId="0" fontId="11" fillId="0" borderId="0" xfId="5" applyFont="1" applyAlignment="1" applyProtection="1">
      <alignment horizontal="center"/>
    </xf>
    <xf numFmtId="0" fontId="1" fillId="0" borderId="0" xfId="5" applyNumberFormat="1" applyFont="1" applyBorder="1" applyAlignment="1" applyProtection="1">
      <alignment horizontal="center"/>
    </xf>
    <xf numFmtId="0" fontId="10" fillId="0" borderId="0" xfId="5" applyNumberFormat="1" applyBorder="1" applyAlignment="1" applyProtection="1">
      <alignment horizontal="center"/>
    </xf>
    <xf numFmtId="0" fontId="13" fillId="0" borderId="5" xfId="5" applyFont="1" applyBorder="1" applyAlignment="1" applyProtection="1">
      <alignment horizontal="center" vertical="top"/>
    </xf>
    <xf numFmtId="0" fontId="20" fillId="0" borderId="1" xfId="5" applyFont="1" applyBorder="1" applyAlignment="1" applyProtection="1">
      <alignment horizontal="center" vertical="center" wrapText="1"/>
    </xf>
    <xf numFmtId="0" fontId="19" fillId="0" borderId="0" xfId="5" applyFont="1" applyFill="1" applyBorder="1" applyAlignment="1" applyProtection="1">
      <alignment horizontal="left" vertical="top" wrapText="1"/>
    </xf>
    <xf numFmtId="49" fontId="19" fillId="0" borderId="1" xfId="5" applyNumberFormat="1" applyFont="1" applyBorder="1" applyAlignment="1" applyProtection="1">
      <alignment vertical="center" wrapText="1"/>
    </xf>
    <xf numFmtId="0" fontId="10" fillId="0" borderId="5" xfId="5" applyBorder="1" applyAlignment="1" applyProtection="1">
      <alignment horizontal="right"/>
    </xf>
    <xf numFmtId="0" fontId="22" fillId="0" borderId="1" xfId="5" applyFont="1" applyBorder="1" applyAlignment="1" applyProtection="1">
      <alignment horizontal="center" vertical="center" wrapText="1"/>
    </xf>
    <xf numFmtId="0" fontId="20" fillId="0" borderId="1" xfId="5" applyFont="1" applyFill="1" applyBorder="1" applyAlignment="1" applyProtection="1">
      <alignment horizontal="center" vertical="center" wrapText="1"/>
    </xf>
    <xf numFmtId="0" fontId="19" fillId="0" borderId="14" xfId="5" applyFont="1" applyBorder="1" applyAlignment="1" applyProtection="1">
      <alignment horizontal="left" vertical="center" wrapText="1"/>
    </xf>
    <xf numFmtId="0" fontId="20" fillId="0" borderId="13" xfId="5" applyFont="1" applyBorder="1" applyAlignment="1" applyProtection="1">
      <alignment horizontal="center" vertical="center" wrapText="1"/>
    </xf>
    <xf numFmtId="0" fontId="20" fillId="0" borderId="14" xfId="5" applyFont="1" applyBorder="1" applyAlignment="1" applyProtection="1">
      <alignment horizontal="center" vertical="center" wrapText="1"/>
    </xf>
    <xf numFmtId="0" fontId="20" fillId="0" borderId="10" xfId="5" applyFont="1" applyBorder="1" applyAlignment="1" applyProtection="1">
      <alignment horizontal="center" vertical="center" wrapText="1"/>
    </xf>
    <xf numFmtId="0" fontId="20" fillId="0" borderId="11" xfId="5" applyFont="1" applyBorder="1" applyAlignment="1" applyProtection="1">
      <alignment horizontal="center" vertical="center" wrapText="1"/>
    </xf>
    <xf numFmtId="0" fontId="20" fillId="0" borderId="5" xfId="5" applyFont="1" applyBorder="1" applyAlignment="1" applyProtection="1">
      <alignment horizontal="center" vertical="center" wrapText="1"/>
    </xf>
    <xf numFmtId="0" fontId="20" fillId="0" borderId="12" xfId="5" applyFont="1" applyBorder="1" applyAlignment="1" applyProtection="1">
      <alignment horizontal="center" vertical="center" wrapText="1"/>
    </xf>
    <xf numFmtId="0" fontId="3" fillId="0" borderId="8" xfId="5" applyFont="1" applyBorder="1" applyAlignment="1">
      <alignment horizontal="center"/>
    </xf>
    <xf numFmtId="0" fontId="10" fillId="0" borderId="9" xfId="5" applyBorder="1" applyAlignment="1">
      <alignment horizontal="center"/>
    </xf>
    <xf numFmtId="0" fontId="19" fillId="0" borderId="2" xfId="5" applyFont="1" applyBorder="1" applyAlignment="1" applyProtection="1">
      <alignment horizontal="center" vertical="center" wrapText="1"/>
    </xf>
    <xf numFmtId="0" fontId="19" fillId="0" borderId="3" xfId="5" applyFont="1" applyBorder="1" applyAlignment="1" applyProtection="1">
      <alignment horizontal="center" vertical="center" wrapText="1"/>
    </xf>
    <xf numFmtId="0" fontId="20" fillId="0" borderId="0" xfId="5" applyFont="1" applyAlignment="1" applyProtection="1">
      <alignment horizontal="center" wrapText="1"/>
      <protection locked="0"/>
    </xf>
    <xf numFmtId="0" fontId="20" fillId="0" borderId="0" xfId="5" applyFont="1" applyAlignment="1" applyProtection="1">
      <alignment horizontal="center" vertical="top" wrapText="1"/>
      <protection locked="0"/>
    </xf>
    <xf numFmtId="0" fontId="10" fillId="0" borderId="0" xfId="5" applyAlignment="1" applyProtection="1">
      <alignment horizontal="left" wrapText="1"/>
    </xf>
    <xf numFmtId="0" fontId="1" fillId="0" borderId="5" xfId="5" applyFont="1" applyBorder="1" applyAlignment="1" applyProtection="1">
      <alignment horizontal="center"/>
    </xf>
    <xf numFmtId="0" fontId="10" fillId="0" borderId="5" xfId="5" applyBorder="1" applyAlignment="1" applyProtection="1">
      <alignment horizontal="center"/>
    </xf>
    <xf numFmtId="0" fontId="13" fillId="0" borderId="14" xfId="5" applyFont="1" applyBorder="1" applyAlignment="1" applyProtection="1">
      <alignment horizontal="center" vertical="top"/>
    </xf>
    <xf numFmtId="0" fontId="10" fillId="0" borderId="0" xfId="5" applyBorder="1" applyAlignment="1" applyProtection="1">
      <alignment horizontal="right"/>
    </xf>
    <xf numFmtId="49" fontId="19" fillId="0" borderId="2" xfId="5" applyNumberFormat="1" applyFont="1" applyBorder="1" applyAlignment="1" applyProtection="1">
      <alignment horizontal="center" vertical="center" wrapText="1"/>
    </xf>
    <xf numFmtId="49" fontId="19" fillId="0" borderId="4" xfId="5" applyNumberFormat="1" applyFont="1" applyBorder="1" applyAlignment="1" applyProtection="1">
      <alignment horizontal="center" vertical="center" wrapText="1"/>
    </xf>
    <xf numFmtId="49" fontId="19" fillId="0" borderId="3" xfId="5" applyNumberFormat="1" applyFont="1" applyBorder="1" applyAlignment="1" applyProtection="1">
      <alignment horizontal="center" vertical="center" wrapText="1"/>
    </xf>
    <xf numFmtId="0" fontId="21" fillId="0" borderId="2" xfId="5" applyFont="1" applyBorder="1" applyAlignment="1" applyProtection="1">
      <alignment horizontal="center" vertical="center" wrapText="1"/>
    </xf>
    <xf numFmtId="0" fontId="21" fillId="0" borderId="4" xfId="5" applyFont="1" applyBorder="1" applyAlignment="1" applyProtection="1">
      <alignment horizontal="center" vertical="center" wrapText="1"/>
    </xf>
    <xf numFmtId="0" fontId="21" fillId="0" borderId="3" xfId="5" applyFont="1" applyBorder="1" applyAlignment="1" applyProtection="1">
      <alignment horizontal="center" vertical="center" wrapText="1"/>
    </xf>
    <xf numFmtId="0" fontId="19" fillId="0" borderId="4" xfId="5" applyFont="1" applyBorder="1" applyAlignment="1" applyProtection="1">
      <alignment horizontal="center" vertical="center" wrapText="1"/>
    </xf>
    <xf numFmtId="0" fontId="20" fillId="0" borderId="0" xfId="5" applyFont="1" applyAlignment="1">
      <alignment horizontal="center" vertical="top" wrapText="1"/>
    </xf>
    <xf numFmtId="0" fontId="11" fillId="0" borderId="0" xfId="5" applyFont="1" applyAlignment="1" applyProtection="1">
      <alignment horizontal="left" vertical="top" wrapText="1"/>
    </xf>
    <xf numFmtId="0" fontId="10" fillId="0" borderId="0" xfId="5" applyAlignment="1" applyProtection="1">
      <alignment horizontal="left" vertical="top" wrapText="1"/>
    </xf>
    <xf numFmtId="49" fontId="19" fillId="0" borderId="1" xfId="5" applyNumberFormat="1" applyFont="1" applyBorder="1" applyAlignment="1" applyProtection="1">
      <alignment horizontal="center" vertical="center" wrapText="1"/>
    </xf>
    <xf numFmtId="0" fontId="21" fillId="0" borderId="1" xfId="5" applyFont="1" applyBorder="1" applyAlignment="1" applyProtection="1">
      <alignment horizontal="center" vertical="center" wrapText="1"/>
    </xf>
    <xf numFmtId="0" fontId="19" fillId="0" borderId="1" xfId="5" applyFont="1" applyBorder="1" applyAlignment="1" applyProtection="1">
      <alignment horizontal="center" vertical="center" wrapText="1"/>
    </xf>
    <xf numFmtId="0" fontId="20" fillId="0" borderId="0" xfId="5" applyFont="1" applyAlignment="1" applyProtection="1">
      <alignment horizontal="center" wrapText="1"/>
    </xf>
    <xf numFmtId="0" fontId="20" fillId="0" borderId="0" xfId="5" applyFont="1" applyAlignment="1" applyProtection="1">
      <alignment horizontal="center" vertical="top" wrapText="1"/>
    </xf>
    <xf numFmtId="0" fontId="11" fillId="0" borderId="0" xfId="5" applyFont="1" applyFill="1" applyAlignment="1" applyProtection="1">
      <alignment horizontal="left" vertical="top" wrapText="1"/>
    </xf>
    <xf numFmtId="0" fontId="10" fillId="0" borderId="0" xfId="5" applyFill="1" applyAlignment="1" applyProtection="1">
      <alignment horizontal="left" vertical="top" wrapText="1"/>
    </xf>
    <xf numFmtId="0" fontId="10" fillId="0" borderId="0" xfId="5" applyFill="1" applyBorder="1" applyAlignment="1" applyProtection="1">
      <alignment horizontal="right"/>
    </xf>
    <xf numFmtId="0" fontId="11" fillId="0" borderId="0" xfId="5" applyFont="1" applyFill="1" applyAlignment="1" applyProtection="1">
      <alignment horizontal="center"/>
    </xf>
    <xf numFmtId="0" fontId="1" fillId="0" borderId="0" xfId="5" applyFont="1" applyFill="1" applyBorder="1" applyAlignment="1" applyProtection="1">
      <alignment horizontal="center"/>
    </xf>
    <xf numFmtId="0" fontId="10" fillId="0" borderId="0" xfId="5" applyFill="1" applyBorder="1" applyAlignment="1" applyProtection="1">
      <alignment horizontal="center"/>
    </xf>
    <xf numFmtId="0" fontId="13" fillId="0" borderId="0" xfId="5" applyFont="1" applyFill="1" applyBorder="1" applyAlignment="1" applyProtection="1">
      <alignment horizontal="center" vertical="top"/>
    </xf>
    <xf numFmtId="0" fontId="19" fillId="0" borderId="1" xfId="5" applyFont="1" applyFill="1" applyBorder="1" applyAlignment="1" applyProtection="1">
      <alignment horizontal="center" vertical="center" wrapText="1"/>
    </xf>
    <xf numFmtId="0" fontId="21" fillId="0" borderId="1" xfId="5" applyFont="1" applyFill="1" applyBorder="1" applyAlignment="1" applyProtection="1">
      <alignment horizontal="center" vertical="center" wrapText="1"/>
    </xf>
    <xf numFmtId="4" fontId="80" fillId="0" borderId="3" xfId="0" applyNumberFormat="1" applyFont="1" applyFill="1" applyBorder="1" applyAlignment="1">
      <alignment horizontal="center" vertical="center" wrapText="1"/>
    </xf>
    <xf numFmtId="4" fontId="80" fillId="0" borderId="11" xfId="0" applyNumberFormat="1" applyFont="1" applyFill="1" applyBorder="1" applyAlignment="1">
      <alignment horizontal="center" vertical="center" wrapText="1"/>
    </xf>
    <xf numFmtId="0" fontId="28" fillId="0" borderId="0" xfId="6" applyFont="1" applyAlignment="1">
      <alignment horizontal="center" vertical="center" wrapText="1"/>
    </xf>
    <xf numFmtId="0" fontId="77" fillId="0" borderId="0" xfId="6" applyFont="1" applyAlignment="1">
      <alignment horizontal="left" vertical="top" wrapText="1"/>
    </xf>
    <xf numFmtId="0" fontId="76" fillId="0" borderId="0" xfId="6" applyFont="1" applyAlignment="1">
      <alignment horizontal="left" vertical="top" wrapText="1"/>
    </xf>
    <xf numFmtId="0" fontId="76" fillId="0" borderId="0" xfId="6" applyFont="1" applyAlignment="1">
      <alignment horizontal="center"/>
    </xf>
    <xf numFmtId="0" fontId="76" fillId="0" borderId="5" xfId="6" applyFont="1" applyBorder="1" applyAlignment="1">
      <alignment horizontal="center"/>
    </xf>
    <xf numFmtId="0" fontId="78" fillId="0" borderId="14" xfId="6" applyFont="1" applyBorder="1" applyAlignment="1">
      <alignment horizontal="center" vertical="top"/>
    </xf>
    <xf numFmtId="0" fontId="28" fillId="0" borderId="0" xfId="6" applyFont="1" applyBorder="1" applyAlignment="1">
      <alignment horizontal="center" vertical="center" wrapText="1"/>
    </xf>
    <xf numFmtId="0" fontId="20" fillId="0" borderId="8" xfId="6" applyFont="1" applyBorder="1" applyAlignment="1">
      <alignment horizontal="center" vertical="center" wrapText="1"/>
    </xf>
    <xf numFmtId="0" fontId="20" fillId="0" borderId="9" xfId="6" applyFont="1" applyBorder="1" applyAlignment="1">
      <alignment horizontal="center" vertical="center" wrapText="1"/>
    </xf>
    <xf numFmtId="0" fontId="20" fillId="0" borderId="7" xfId="6" applyFont="1" applyBorder="1" applyAlignment="1">
      <alignment horizontal="center" vertical="center" wrapText="1"/>
    </xf>
    <xf numFmtId="0" fontId="20" fillId="0" borderId="8" xfId="6" applyFont="1" applyBorder="1" applyAlignment="1">
      <alignment horizontal="center" vertical="center"/>
    </xf>
    <xf numFmtId="0" fontId="20" fillId="0" borderId="9" xfId="6" applyFont="1" applyBorder="1" applyAlignment="1">
      <alignment horizontal="center" vertical="center"/>
    </xf>
    <xf numFmtId="0" fontId="20" fillId="0" borderId="7" xfId="6" applyFont="1" applyBorder="1" applyAlignment="1">
      <alignment horizontal="center" vertical="center"/>
    </xf>
    <xf numFmtId="0" fontId="11" fillId="0" borderId="0" xfId="6" applyFont="1" applyAlignment="1">
      <alignment horizontal="left" wrapText="1"/>
    </xf>
    <xf numFmtId="0" fontId="4" fillId="0" borderId="0" xfId="6" applyFont="1" applyAlignment="1">
      <alignment horizontal="center"/>
    </xf>
    <xf numFmtId="0" fontId="9" fillId="0" borderId="0" xfId="6" applyAlignment="1">
      <alignment horizontal="center"/>
    </xf>
    <xf numFmtId="0" fontId="9" fillId="0" borderId="9" xfId="6" applyBorder="1" applyAlignment="1">
      <alignment horizontal="center"/>
    </xf>
    <xf numFmtId="0" fontId="9" fillId="0" borderId="5" xfId="6" applyBorder="1" applyAlignment="1">
      <alignment horizontal="right"/>
    </xf>
    <xf numFmtId="0" fontId="29" fillId="0" borderId="1" xfId="6" applyFont="1" applyBorder="1" applyAlignment="1">
      <alignment horizontal="center" vertical="center" wrapText="1"/>
    </xf>
    <xf numFmtId="0" fontId="20" fillId="0" borderId="0" xfId="6" applyFont="1" applyAlignment="1">
      <alignment horizontal="center" wrapText="1"/>
    </xf>
    <xf numFmtId="0" fontId="20" fillId="0" borderId="0" xfId="6" applyFont="1" applyAlignment="1">
      <alignment horizontal="center" vertical="top" wrapText="1"/>
    </xf>
    <xf numFmtId="2" fontId="82" fillId="30" borderId="27" xfId="0" applyNumberFormat="1" applyFont="1" applyFill="1" applyBorder="1" applyAlignment="1" applyProtection="1">
      <alignment horizontal="center" vertical="center"/>
      <protection locked="0"/>
    </xf>
    <xf numFmtId="2" fontId="83" fillId="30" borderId="28" xfId="0" applyNumberFormat="1" applyFont="1" applyFill="1" applyBorder="1" applyAlignment="1" applyProtection="1">
      <alignment horizontal="center" vertical="center"/>
      <protection locked="0"/>
    </xf>
    <xf numFmtId="0" fontId="72" fillId="0" borderId="0" xfId="6" applyFont="1" applyAlignment="1">
      <alignment horizontal="left" vertical="top" wrapText="1"/>
    </xf>
    <xf numFmtId="0" fontId="73" fillId="0" borderId="0" xfId="6" applyFont="1" applyAlignment="1">
      <alignment horizontal="left" vertical="top" wrapText="1"/>
    </xf>
    <xf numFmtId="0" fontId="9" fillId="0" borderId="0" xfId="6" applyAlignment="1">
      <alignment horizontal="center" wrapText="1"/>
    </xf>
    <xf numFmtId="0" fontId="9" fillId="0" borderId="5" xfId="6" applyBorder="1" applyAlignment="1">
      <alignment horizontal="center"/>
    </xf>
    <xf numFmtId="0" fontId="13" fillId="0" borderId="14" xfId="6" applyFont="1" applyBorder="1" applyAlignment="1">
      <alignment horizontal="center" vertical="top"/>
    </xf>
    <xf numFmtId="0" fontId="9" fillId="0" borderId="0" xfId="6" applyBorder="1" applyAlignment="1">
      <alignment horizontal="right"/>
    </xf>
    <xf numFmtId="0" fontId="20" fillId="0" borderId="0" xfId="6" applyFont="1" applyAlignment="1">
      <alignment horizontal="left" vertical="top" wrapText="1"/>
    </xf>
    <xf numFmtId="0" fontId="29" fillId="0" borderId="8" xfId="6" applyFont="1" applyFill="1" applyBorder="1" applyAlignment="1">
      <alignment horizontal="center" vertical="center" wrapText="1"/>
    </xf>
    <xf numFmtId="0" fontId="29" fillId="0" borderId="9" xfId="6" applyFont="1" applyFill="1" applyBorder="1" applyAlignment="1">
      <alignment horizontal="center" vertical="center" wrapText="1"/>
    </xf>
    <xf numFmtId="0" fontId="29" fillId="0" borderId="7" xfId="6" applyFont="1" applyFill="1" applyBorder="1" applyAlignment="1">
      <alignment horizontal="center" vertical="center" wrapText="1"/>
    </xf>
    <xf numFmtId="0" fontId="20" fillId="0" borderId="0" xfId="6" applyFont="1" applyAlignment="1">
      <alignment horizontal="left" wrapText="1"/>
    </xf>
    <xf numFmtId="0" fontId="9" fillId="0" borderId="0" xfId="6" applyFill="1" applyAlignment="1">
      <alignment horizontal="left" wrapText="1"/>
    </xf>
    <xf numFmtId="0" fontId="9" fillId="0" borderId="0" xfId="6" applyFill="1" applyAlignment="1">
      <alignment horizontal="center" wrapText="1"/>
    </xf>
    <xf numFmtId="0" fontId="9" fillId="0" borderId="0" xfId="6" applyFill="1" applyAlignment="1">
      <alignment horizontal="center"/>
    </xf>
    <xf numFmtId="0" fontId="9" fillId="0" borderId="5" xfId="6" applyFill="1" applyBorder="1" applyAlignment="1">
      <alignment horizontal="center"/>
    </xf>
    <xf numFmtId="0" fontId="13" fillId="0" borderId="14" xfId="6" applyFont="1" applyFill="1" applyBorder="1" applyAlignment="1">
      <alignment horizontal="center" vertical="top"/>
    </xf>
    <xf numFmtId="0" fontId="9" fillId="0" borderId="0" xfId="6" applyFill="1" applyBorder="1" applyAlignment="1">
      <alignment horizontal="right"/>
    </xf>
    <xf numFmtId="49" fontId="21" fillId="0" borderId="1" xfId="6" applyNumberFormat="1" applyFont="1" applyFill="1" applyBorder="1" applyAlignment="1">
      <alignment horizontal="center" vertical="center" wrapText="1"/>
    </xf>
    <xf numFmtId="0" fontId="21" fillId="0" borderId="1" xfId="6" applyFont="1" applyFill="1" applyBorder="1" applyAlignment="1">
      <alignment horizontal="center" vertical="center" wrapText="1"/>
    </xf>
    <xf numFmtId="0" fontId="21" fillId="0" borderId="2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0" fillId="0" borderId="2" xfId="6" applyFont="1" applyFill="1" applyBorder="1" applyAlignment="1">
      <alignment horizontal="center" vertical="center" wrapText="1"/>
    </xf>
    <xf numFmtId="0" fontId="20" fillId="0" borderId="3" xfId="6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229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2 2" xfId="16"/>
    <cellStyle name="20% - Акцент3 2" xfId="17"/>
    <cellStyle name="20% - Акцент4 2" xfId="18"/>
    <cellStyle name="20% - Акцент5 2" xfId="19"/>
    <cellStyle name="20% - Акцент6 2" xfId="20"/>
    <cellStyle name="40% - Accent1" xfId="21"/>
    <cellStyle name="40% - Accent2" xfId="22"/>
    <cellStyle name="40% - Accent3" xfId="23"/>
    <cellStyle name="40% - Accent4" xfId="24"/>
    <cellStyle name="40% - Accent5" xfId="25"/>
    <cellStyle name="40% - Accent6" xfId="26"/>
    <cellStyle name="40% - Акцент1 2" xfId="27"/>
    <cellStyle name="40% - Акцент2 2" xfId="28"/>
    <cellStyle name="40% - Акцент3 2" xfId="29"/>
    <cellStyle name="40% - Акцент4 2" xfId="30"/>
    <cellStyle name="40% - Акцент5 2" xfId="31"/>
    <cellStyle name="40% - Акцент6 2" xfId="32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60% - Акцент1 2" xfId="39"/>
    <cellStyle name="60% - Акцент2 2" xfId="40"/>
    <cellStyle name="60% - Акцент3 2" xfId="41"/>
    <cellStyle name="60% - Акцент4 2" xfId="42"/>
    <cellStyle name="60% - Акцент5 2" xfId="43"/>
    <cellStyle name="60% - Акцент6 2" xfId="44"/>
    <cellStyle name="Accent1" xfId="45"/>
    <cellStyle name="Accent2" xfId="46"/>
    <cellStyle name="Accent3" xfId="47"/>
    <cellStyle name="Accent4" xfId="48"/>
    <cellStyle name="Accent5" xfId="49"/>
    <cellStyle name="Accent6" xfId="50"/>
    <cellStyle name="Bad" xfId="51"/>
    <cellStyle name="Calculation" xfId="52"/>
    <cellStyle name="Calculation 2" xfId="217"/>
    <cellStyle name="Check Cell" xfId="53"/>
    <cellStyle name="Comma 2" xfId="2"/>
    <cellStyle name="Excel Built-in Normal" xfId="54"/>
    <cellStyle name="Explanatory Text" xfId="55"/>
    <cellStyle name="Good" xfId="56"/>
    <cellStyle name="Heading 1" xfId="57"/>
    <cellStyle name="Heading 2" xfId="58"/>
    <cellStyle name="Heading 3" xfId="59"/>
    <cellStyle name="Heading 4" xfId="60"/>
    <cellStyle name="Input" xfId="61"/>
    <cellStyle name="Input 2" xfId="218"/>
    <cellStyle name="Linked Cell" xfId="62"/>
    <cellStyle name="Neutral" xfId="63"/>
    <cellStyle name="Note" xfId="64"/>
    <cellStyle name="Note 2" xfId="219"/>
    <cellStyle name="Output" xfId="65"/>
    <cellStyle name="Output 2" xfId="220"/>
    <cellStyle name="Title" xfId="66"/>
    <cellStyle name="Total" xfId="67"/>
    <cellStyle name="Total 2" xfId="221"/>
    <cellStyle name="Warning Text" xfId="68"/>
    <cellStyle name="Акцент1 2" xfId="69"/>
    <cellStyle name="Акцент2 2" xfId="70"/>
    <cellStyle name="Акцент3 2" xfId="71"/>
    <cellStyle name="Акцент4 2" xfId="72"/>
    <cellStyle name="Акцент5 2" xfId="73"/>
    <cellStyle name="Акцент6 2" xfId="74"/>
    <cellStyle name="Ввод  2" xfId="75"/>
    <cellStyle name="Відсотковий 2" xfId="76"/>
    <cellStyle name="Вывод 2" xfId="77"/>
    <cellStyle name="Вычисление 2" xfId="78"/>
    <cellStyle name="Денежный 2" xfId="79"/>
    <cellStyle name="Денежный 3" xfId="80"/>
    <cellStyle name="Денежный 4" xfId="81"/>
    <cellStyle name="Заголовок 1 2" xfId="82"/>
    <cellStyle name="Заголовок 1 3" xfId="83"/>
    <cellStyle name="Заголовок 2 2" xfId="84"/>
    <cellStyle name="Заголовок 2 3" xfId="85"/>
    <cellStyle name="Заголовок 3 2" xfId="86"/>
    <cellStyle name="Заголовок 3 3" xfId="87"/>
    <cellStyle name="Заголовок 4 2" xfId="88"/>
    <cellStyle name="Заголовок 4 3" xfId="89"/>
    <cellStyle name="Звичайний 2" xfId="7"/>
    <cellStyle name="Звичайний 2 2" xfId="90"/>
    <cellStyle name="Звичайний 3" xfId="91"/>
    <cellStyle name="Звичайний 3 2" xfId="92"/>
    <cellStyle name="Звичайний 3 3" xfId="93"/>
    <cellStyle name="Звичайний 3 4" xfId="94"/>
    <cellStyle name="Звичайний 3 5" xfId="95"/>
    <cellStyle name="Звичайний 3 6" xfId="96"/>
    <cellStyle name="Звичайний 3 6 2" xfId="97"/>
    <cellStyle name="Звичайний 3 7" xfId="98"/>
    <cellStyle name="Звичайний 3 8" xfId="99"/>
    <cellStyle name="Звичайний 4" xfId="100"/>
    <cellStyle name="Звичайний 4 2" xfId="101"/>
    <cellStyle name="Звичайний 4 3" xfId="102"/>
    <cellStyle name="Звичайний 5" xfId="103"/>
    <cellStyle name="Звичайний 5 2" xfId="216"/>
    <cellStyle name="Звичайний 6" xfId="222"/>
    <cellStyle name="Звичайний 7" xfId="223"/>
    <cellStyle name="Звичайний 8" xfId="224"/>
    <cellStyle name="Итог 2" xfId="104"/>
    <cellStyle name="Контрольная ячейка 2" xfId="105"/>
    <cellStyle name="Название 2" xfId="106"/>
    <cellStyle name="Нейтральный 2" xfId="107"/>
    <cellStyle name="Обычный" xfId="0" builtinId="0"/>
    <cellStyle name="Обычный 10" xfId="108"/>
    <cellStyle name="Обычный 10 2" xfId="109"/>
    <cellStyle name="Обычный 10 3" xfId="110"/>
    <cellStyle name="Обычный 10 4" xfId="111"/>
    <cellStyle name="Обычный 10 5" xfId="112"/>
    <cellStyle name="Обычный 11" xfId="113"/>
    <cellStyle name="Обычный 11 2" xfId="114"/>
    <cellStyle name="Обычный 11 3" xfId="115"/>
    <cellStyle name="Обычный 12" xfId="116"/>
    <cellStyle name="Обычный 13" xfId="117"/>
    <cellStyle name="Обычный 14" xfId="118"/>
    <cellStyle name="Обычный 2" xfId="1"/>
    <cellStyle name="Обычный 2 10" xfId="119"/>
    <cellStyle name="Обычный 2 11" xfId="120"/>
    <cellStyle name="Обычный 2 12" xfId="121"/>
    <cellStyle name="Обычный 2 13" xfId="122"/>
    <cellStyle name="Обычный 2 14" xfId="123"/>
    <cellStyle name="Обычный 2 15" xfId="124"/>
    <cellStyle name="Обычный 2 16" xfId="125"/>
    <cellStyle name="Обычный 2 2" xfId="126"/>
    <cellStyle name="Обычный 2 2 2" xfId="127"/>
    <cellStyle name="Обычный 2 2 2 2" xfId="128"/>
    <cellStyle name="Обычный 2 2 2 3" xfId="129"/>
    <cellStyle name="Обычный 2 2 2 4" xfId="130"/>
    <cellStyle name="Обычный 2 2 2 5" xfId="131"/>
    <cellStyle name="Обычный 2 2 2 6" xfId="132"/>
    <cellStyle name="Обычный 2 2 2 7" xfId="133"/>
    <cellStyle name="Обычный 2 2 2 8" xfId="134"/>
    <cellStyle name="Обычный 2 2 3" xfId="135"/>
    <cellStyle name="Обычный 2 2 3 2" xfId="136"/>
    <cellStyle name="Обычный 2 2 4" xfId="137"/>
    <cellStyle name="Обычный 2 2 5" xfId="138"/>
    <cellStyle name="Обычный 2 2 6" xfId="139"/>
    <cellStyle name="Обычный 2 2 7" xfId="140"/>
    <cellStyle name="Обычный 2 2 8" xfId="141"/>
    <cellStyle name="Обычный 2 2_Расшифровка плановых затрат по ПЕ на 2012г" xfId="142"/>
    <cellStyle name="Обычный 2 3" xfId="143"/>
    <cellStyle name="Обычный 2 3 2" xfId="144"/>
    <cellStyle name="Обычный 2 3 3" xfId="145"/>
    <cellStyle name="Обычный 2 3 4" xfId="146"/>
    <cellStyle name="Обычный 2 4" xfId="147"/>
    <cellStyle name="Обычный 2 4 2" xfId="148"/>
    <cellStyle name="Обычный 2 5" xfId="149"/>
    <cellStyle name="Обычный 2 5 2" xfId="150"/>
    <cellStyle name="Обычный 2 6" xfId="151"/>
    <cellStyle name="Обычный 2 7" xfId="152"/>
    <cellStyle name="Обычный 2 8" xfId="153"/>
    <cellStyle name="Обычный 2 9" xfId="154"/>
    <cellStyle name="Обычный 2_Аналіз старих тарифів на коміссію27_10_11" xfId="155"/>
    <cellStyle name="Обычный 3" xfId="5"/>
    <cellStyle name="Обычный 3 2" xfId="156"/>
    <cellStyle name="Обычный 3 2 2" xfId="157"/>
    <cellStyle name="Обычный 3 3" xfId="158"/>
    <cellStyle name="Обычный 3 3 2" xfId="159"/>
    <cellStyle name="Обычный 3 3 3" xfId="160"/>
    <cellStyle name="Обычный 3 4" xfId="161"/>
    <cellStyle name="Обычный 3 4 2" xfId="162"/>
    <cellStyle name="Обычный 3 4 3" xfId="163"/>
    <cellStyle name="Обычный 3 5" xfId="164"/>
    <cellStyle name="Обычный 3 5 2" xfId="165"/>
    <cellStyle name="Обычный 3 6" xfId="166"/>
    <cellStyle name="Обычный 3 7" xfId="167"/>
    <cellStyle name="Обычный 3 8" xfId="168"/>
    <cellStyle name="Обычный 3 9" xfId="169"/>
    <cellStyle name="Обычный 3_Расшифровка плановых затрат по ПЕ на 2012г" xfId="170"/>
    <cellStyle name="Обычный 4" xfId="6"/>
    <cellStyle name="Обычный 4 2" xfId="171"/>
    <cellStyle name="Обычный 4 2 2" xfId="225"/>
    <cellStyle name="Обычный 4 2 3" xfId="228"/>
    <cellStyle name="Обычный 4 3" xfId="172"/>
    <cellStyle name="Обычный 4 3 2" xfId="173"/>
    <cellStyle name="Обычный 4 4" xfId="174"/>
    <cellStyle name="Обычный 4 5" xfId="175"/>
    <cellStyle name="Обычный 5" xfId="176"/>
    <cellStyle name="Обычный 5 2" xfId="177"/>
    <cellStyle name="Обычный 5 3" xfId="178"/>
    <cellStyle name="Обычный 6" xfId="179"/>
    <cellStyle name="Обычный 6 2" xfId="180"/>
    <cellStyle name="Обычный 6 3" xfId="181"/>
    <cellStyle name="Обычный 7" xfId="182"/>
    <cellStyle name="Обычный 7 2" xfId="183"/>
    <cellStyle name="Обычный 8" xfId="184"/>
    <cellStyle name="Обычный 8 2" xfId="185"/>
    <cellStyle name="Обычный 8 2 2" xfId="186"/>
    <cellStyle name="Обычный 8 3" xfId="187"/>
    <cellStyle name="Обычный 8 4" xfId="188"/>
    <cellStyle name="Обычный 9" xfId="189"/>
    <cellStyle name="Обычный 9 2" xfId="190"/>
    <cellStyle name="Плохой 2" xfId="191"/>
    <cellStyle name="Пояснение 2" xfId="192"/>
    <cellStyle name="Примечание 2" xfId="193"/>
    <cellStyle name="Процентный 2" xfId="8"/>
    <cellStyle name="Процентный 2 2" xfId="194"/>
    <cellStyle name="Процентный 2 2 2" xfId="195"/>
    <cellStyle name="Процентный 2 3" xfId="196"/>
    <cellStyle name="Процентный 3" xfId="197"/>
    <cellStyle name="Процентный 3 2" xfId="198"/>
    <cellStyle name="Процентный 4" xfId="199"/>
    <cellStyle name="Процентный 5" xfId="200"/>
    <cellStyle name="Связанная ячейка 2" xfId="201"/>
    <cellStyle name="Текст предупреждения 2" xfId="202"/>
    <cellStyle name="Тысячи [0]_maket10" xfId="226"/>
    <cellStyle name="Тысячи_maket10" xfId="227"/>
    <cellStyle name="Финансовый [0] 2" xfId="203"/>
    <cellStyle name="Финансовый 2" xfId="3"/>
    <cellStyle name="Финансовый 2 2" xfId="204"/>
    <cellStyle name="Финансовый 2 2 2" xfId="205"/>
    <cellStyle name="Финансовый 2 3" xfId="206"/>
    <cellStyle name="Финансовый 2 4" xfId="207"/>
    <cellStyle name="Финансовый 2 5" xfId="208"/>
    <cellStyle name="Финансовый 2 6" xfId="209"/>
    <cellStyle name="Финансовый 3" xfId="4"/>
    <cellStyle name="Финансовый 3 2" xfId="210"/>
    <cellStyle name="Финансовый 3 3" xfId="211"/>
    <cellStyle name="Финансовый 3 4" xfId="212"/>
    <cellStyle name="Финансовый 4" xfId="213"/>
    <cellStyle name="Фінансовий 2" xfId="214"/>
    <cellStyle name="Хороший 2" xfId="215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Medium9"/>
  <colors>
    <mruColors>
      <color rgb="FF00FFFF"/>
      <color rgb="FFEC20C5"/>
      <color rgb="FFFF7C80"/>
      <color rgb="FF8F314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4;&#1041;&#1065;&#1048;&#1045;%20&#1044;&#1054;&#1050;&#1059;&#1052;&#1045;&#1053;&#1058;&#1067;%202014\&#1059;&#1055;&#1056;&#1040;&#1042;&#1051;&#1030;&#1053;&#1053;&#1071;%20&#1060;&#1054;&#1056;&#1052;&#1059;&#1042;&#1040;&#1053;&#1053;&#1071;%20&#1058;&#1040;&#1056;&#1048;&#1060;&#1030;&#1042;\&#1041;&#1040;&#1047;&#1048;%20&#1044;&#1040;&#1053;&#1048;&#1061;\&#1050;&#1054;&#1056;&#1048;&#1043;&#1059;&#1042;&#1040;&#1053;&#1053;&#1071;%20&#1058;&#1040;&#1056;&#1048;&#1060;&#1030;&#1042;%20&#1041;&#1070;&#1044;&#1046;&#1045;&#1058;%20&#1030;&#1053;&#1064;&#1030;\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ubina\Desktop\&#1058;&#1072;&#1088;&#1080;&#1092;&#1080;%20%20&#1073;&#1077;&#1088;&#1077;&#1079;&#1077;&#1085;&#1100;%202014\&#1063;&#1091;&#1075;&#1091;&#1111;&#1074;&#1090;&#1077;&#1087;&#1083;&#1086;\&#1050;&#1058;_%20&#1058;&#1056;&#1048;%20&#1050;&#1040;&#1058;&#1045;&#1043;&#1054;&#1056;&#1030;&#1031;%20&#1089;&#1090;&#1088;&#1091;&#1082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8;&#1075;&#1077;&#1081;&#1095;&#1080;&#1082;%20&#1048;%20&#1043;/AppData/Local/Microsoft/Windows/Temporary%20Internet%20Files/Content.IE5/Q6I5L08X/&#1096;&#1072;&#1073;&#1083;&#1086;&#1085;&#1099;%20&#1053;&#1086;&#1074;&#1072;&#1103;%20&#1087;&#1072;&#1087;&#1082;&#1072;/&#1043;&#1083;&#1080;&#1085;&#1097;&#1080;&#1082;&#1086;&#1074;&#1072;%2016%2005%202014%20&#1053;&#1086;&#1074;&#1072;&#1103;%20&#1087;&#1072;&#1087;&#1082;&#1072;/reestr_budynkiv_16_05_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54;&#1056;&#1048;&#1043;&#1059;&#1042;&#1040;&#1053;&#1053;&#1071;%20&#1041;&#1077;&#1088;&#1077;&#1079;&#1077;&#1085;&#1100;%202014\&#1055;&#1056;&#1054;&#1042;&#1045;&#1056;&#1045;&#1053;&#1054;%20&#1044;&#1051;&#1071;%20&#1057;&#1042;&#1054;&#1044;&#1040;\&#1053;&#1040;%20&#1047;&#1040;&#1052;&#1045;&#1053;&#1059;\&#1050;&#1088;&#1080;&#1084;\&#1044;&#1078;&#1072;&#1085;&#1082;&#1086;&#1081;&#1089;&#1100;&#1082;&#1072;%20&#1092;&#1110;&#1083;&#1110;&#1103;\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ll%20Users/&#1044;&#1086;&#1082;&#1091;&#1084;&#1077;&#1085;&#1090;&#1099;/&#1050;&#1086;&#1087;&#1080;&#1103;%202%20&#1076;&#1086;&#1076;&#1072;&#1090;&#1082;&#1080;%20&#1076;&#1086;%2052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Sum_pok.xls"/>
      <sheetName val="#REF!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Д2"/>
      <sheetName val="Д3"/>
      <sheetName val="Д4"/>
      <sheetName val="Д5"/>
      <sheetName val="Д6"/>
      <sheetName val="Д7"/>
      <sheetName val="Д8"/>
      <sheetName val="Д9"/>
      <sheetName val="Д10"/>
      <sheetName val="Лист6"/>
    </sheetNames>
    <sheetDataSet>
      <sheetData sheetId="0">
        <row r="28">
          <cell r="D28">
            <v>205715.09099999999</v>
          </cell>
        </row>
      </sheetData>
      <sheetData sheetId="1">
        <row r="45">
          <cell r="I45">
            <v>205715.09</v>
          </cell>
          <cell r="J45">
            <v>199407.9</v>
          </cell>
          <cell r="M45">
            <v>88.94</v>
          </cell>
          <cell r="N45">
            <v>85</v>
          </cell>
          <cell r="U45">
            <v>13341.01</v>
          </cell>
          <cell r="V45">
            <v>15745.7</v>
          </cell>
          <cell r="Y45">
            <v>5671.79</v>
          </cell>
          <cell r="Z45">
            <v>7149.86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7C80"/>
  </sheetPr>
  <dimension ref="A1:W53"/>
  <sheetViews>
    <sheetView view="pageBreakPreview" topLeftCell="B1" zoomScale="85" zoomScaleNormal="85" zoomScaleSheetLayoutView="85" zoomScalePageLayoutView="85" workbookViewId="0">
      <pane ySplit="9" topLeftCell="A13" activePane="bottomLeft" state="frozen"/>
      <selection activeCell="E13" sqref="E13"/>
      <selection pane="bottomLeft" activeCell="F17" sqref="F17:F18"/>
    </sheetView>
  </sheetViews>
  <sheetFormatPr defaultRowHeight="15"/>
  <cols>
    <col min="1" max="1" width="5.42578125" style="1" customWidth="1"/>
    <col min="2" max="2" width="39.7109375" style="3" customWidth="1"/>
    <col min="3" max="3" width="7.85546875" style="3" customWidth="1"/>
    <col min="4" max="6" width="10.42578125" style="3" customWidth="1"/>
    <col min="7" max="7" width="10.7109375" style="3" customWidth="1"/>
    <col min="8" max="8" width="9.7109375" style="3" customWidth="1"/>
    <col min="9" max="9" width="10" style="3" customWidth="1"/>
    <col min="10" max="10" width="9.7109375" style="3" customWidth="1"/>
    <col min="11" max="15" width="9" style="3" customWidth="1"/>
    <col min="16" max="16" width="9.5703125" style="3" customWidth="1"/>
    <col min="17" max="17" width="9.85546875" style="3" customWidth="1"/>
    <col min="18" max="18" width="13" style="3" customWidth="1"/>
    <col min="19" max="19" width="9.7109375" style="3" bestFit="1" customWidth="1"/>
    <col min="20" max="16384" width="9.140625" style="3"/>
  </cols>
  <sheetData>
    <row r="1" spans="1:19" ht="39.75" customHeight="1">
      <c r="B1" s="2" t="s">
        <v>7</v>
      </c>
      <c r="O1" s="218" t="s">
        <v>424</v>
      </c>
      <c r="P1" s="218"/>
      <c r="Q1" s="218"/>
      <c r="R1" s="218"/>
    </row>
    <row r="2" spans="1:19" ht="3.75" customHeight="1">
      <c r="B2" s="4"/>
      <c r="C2" s="4"/>
      <c r="D2" s="4"/>
      <c r="M2" s="149"/>
      <c r="N2" s="149"/>
      <c r="O2" s="218"/>
      <c r="P2" s="218"/>
      <c r="Q2" s="218"/>
      <c r="R2" s="218"/>
    </row>
    <row r="3" spans="1:19" ht="41.25" customHeight="1">
      <c r="B3" s="5" t="s">
        <v>8</v>
      </c>
      <c r="M3" s="149"/>
      <c r="N3" s="149"/>
      <c r="O3" s="218"/>
      <c r="P3" s="218"/>
      <c r="Q3" s="218"/>
      <c r="R3" s="218"/>
    </row>
    <row r="4" spans="1:19">
      <c r="B4" s="220" t="s">
        <v>489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</row>
    <row r="5" spans="1:19">
      <c r="A5" s="221" t="str">
        <f>Д3!D3</f>
        <v>Комунальне підприємство Броварської міської ради Київської області "Броваритепловодоенергія"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</row>
    <row r="6" spans="1:19" ht="10.5" customHeight="1">
      <c r="A6" s="6"/>
      <c r="B6" s="6"/>
      <c r="C6" s="6"/>
      <c r="D6" s="6"/>
      <c r="E6" s="225" t="s">
        <v>9</v>
      </c>
      <c r="F6" s="225"/>
      <c r="G6" s="225"/>
      <c r="H6" s="225"/>
      <c r="I6" s="225"/>
      <c r="J6" s="225"/>
      <c r="K6" s="6"/>
      <c r="L6" s="6"/>
      <c r="M6" s="6"/>
      <c r="N6" s="6"/>
      <c r="O6" s="6"/>
      <c r="P6" s="6"/>
      <c r="Q6" s="6"/>
      <c r="R6" s="6"/>
    </row>
    <row r="7" spans="1:19">
      <c r="A7" s="222" t="s">
        <v>10</v>
      </c>
      <c r="B7" s="223" t="s">
        <v>11</v>
      </c>
      <c r="C7" s="224" t="s">
        <v>12</v>
      </c>
      <c r="D7" s="224" t="s">
        <v>486</v>
      </c>
      <c r="E7" s="224" t="s">
        <v>487</v>
      </c>
      <c r="F7" s="224" t="s">
        <v>488</v>
      </c>
      <c r="G7" s="219" t="s">
        <v>13</v>
      </c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</row>
    <row r="8" spans="1:19" ht="23.25" customHeight="1">
      <c r="A8" s="222"/>
      <c r="B8" s="223"/>
      <c r="C8" s="224"/>
      <c r="D8" s="224"/>
      <c r="E8" s="224"/>
      <c r="F8" s="224"/>
      <c r="G8" s="7" t="s">
        <v>14</v>
      </c>
      <c r="H8" s="7" t="s">
        <v>15</v>
      </c>
      <c r="I8" s="7" t="s">
        <v>16</v>
      </c>
      <c r="J8" s="7" t="s">
        <v>17</v>
      </c>
      <c r="K8" s="7" t="s">
        <v>18</v>
      </c>
      <c r="L8" s="7" t="s">
        <v>19</v>
      </c>
      <c r="M8" s="7" t="s">
        <v>20</v>
      </c>
      <c r="N8" s="7" t="s">
        <v>21</v>
      </c>
      <c r="O8" s="7" t="s">
        <v>22</v>
      </c>
      <c r="P8" s="7" t="s">
        <v>23</v>
      </c>
      <c r="Q8" s="7" t="s">
        <v>24</v>
      </c>
      <c r="R8" s="7" t="s">
        <v>25</v>
      </c>
    </row>
    <row r="9" spans="1:19" ht="12" customHeight="1">
      <c r="A9" s="8">
        <v>1</v>
      </c>
      <c r="B9" s="9">
        <v>2</v>
      </c>
      <c r="C9" s="9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7">
        <v>14</v>
      </c>
      <c r="O9" s="7">
        <v>15</v>
      </c>
      <c r="P9" s="7">
        <v>16</v>
      </c>
      <c r="Q9" s="7">
        <v>17</v>
      </c>
      <c r="R9" s="7">
        <v>18</v>
      </c>
    </row>
    <row r="10" spans="1:19" ht="22.5">
      <c r="A10" s="8">
        <v>1</v>
      </c>
      <c r="B10" s="10" t="s">
        <v>26</v>
      </c>
      <c r="C10" s="160" t="s">
        <v>27</v>
      </c>
      <c r="D10" s="161">
        <v>258943.42499999999</v>
      </c>
      <c r="E10" s="161">
        <v>254336.68000000002</v>
      </c>
      <c r="F10" s="161">
        <v>363885.18</v>
      </c>
      <c r="G10" s="161">
        <v>69615.990000000005</v>
      </c>
      <c r="H10" s="161">
        <v>62478.13</v>
      </c>
      <c r="I10" s="161">
        <v>51988.61</v>
      </c>
      <c r="J10" s="161">
        <v>17377.95</v>
      </c>
      <c r="K10" s="161">
        <v>7590.73</v>
      </c>
      <c r="L10" s="161">
        <v>7312.23</v>
      </c>
      <c r="M10" s="161">
        <v>65.900000000000006</v>
      </c>
      <c r="N10" s="161">
        <v>7555.98</v>
      </c>
      <c r="O10" s="161">
        <v>7347.23</v>
      </c>
      <c r="P10" s="161">
        <v>23853.54</v>
      </c>
      <c r="Q10" s="161">
        <v>45133.16</v>
      </c>
      <c r="R10" s="161">
        <v>63565.69</v>
      </c>
      <c r="S10" s="162"/>
    </row>
    <row r="11" spans="1:19" ht="33.75">
      <c r="A11" s="8" t="s">
        <v>28</v>
      </c>
      <c r="B11" s="10" t="s">
        <v>29</v>
      </c>
      <c r="C11" s="9" t="s">
        <v>27</v>
      </c>
      <c r="D11" s="65">
        <v>0</v>
      </c>
      <c r="E11" s="65">
        <v>0</v>
      </c>
      <c r="F11" s="65">
        <v>0</v>
      </c>
      <c r="G11" s="164">
        <v>0</v>
      </c>
      <c r="H11" s="164">
        <v>0</v>
      </c>
      <c r="I11" s="164">
        <v>0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>
        <v>0</v>
      </c>
      <c r="P11" s="164">
        <v>0</v>
      </c>
      <c r="Q11" s="164">
        <v>0</v>
      </c>
      <c r="R11" s="164">
        <v>0</v>
      </c>
    </row>
    <row r="12" spans="1:19">
      <c r="A12" s="8" t="s">
        <v>30</v>
      </c>
      <c r="B12" s="10" t="s">
        <v>31</v>
      </c>
      <c r="C12" s="9" t="s">
        <v>27</v>
      </c>
      <c r="D12" s="163">
        <v>258943.42499999999</v>
      </c>
      <c r="E12" s="163">
        <v>254336.68000000002</v>
      </c>
      <c r="F12" s="163">
        <v>363885.18</v>
      </c>
      <c r="G12" s="163">
        <v>69615.990000000005</v>
      </c>
      <c r="H12" s="163">
        <v>62478.13</v>
      </c>
      <c r="I12" s="163">
        <v>51988.61</v>
      </c>
      <c r="J12" s="163">
        <v>17377.95</v>
      </c>
      <c r="K12" s="163">
        <v>7590.73</v>
      </c>
      <c r="L12" s="163">
        <v>7312.23</v>
      </c>
      <c r="M12" s="163">
        <v>65.900000000000006</v>
      </c>
      <c r="N12" s="163">
        <v>7555.98</v>
      </c>
      <c r="O12" s="163">
        <v>7347.23</v>
      </c>
      <c r="P12" s="163">
        <v>23853.54</v>
      </c>
      <c r="Q12" s="163">
        <v>45133.16</v>
      </c>
      <c r="R12" s="163">
        <v>63565.69</v>
      </c>
    </row>
    <row r="13" spans="1:19" ht="22.5">
      <c r="A13" s="8">
        <v>2</v>
      </c>
      <c r="B13" s="10" t="s">
        <v>32</v>
      </c>
      <c r="C13" s="9" t="s">
        <v>27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</row>
    <row r="14" spans="1:19" ht="22.5">
      <c r="A14" s="8" t="s">
        <v>33</v>
      </c>
      <c r="B14" s="10" t="s">
        <v>34</v>
      </c>
      <c r="C14" s="9" t="s">
        <v>27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</row>
    <row r="15" spans="1:19" ht="22.5">
      <c r="A15" s="8" t="s">
        <v>35</v>
      </c>
      <c r="B15" s="10" t="s">
        <v>367</v>
      </c>
      <c r="C15" s="9" t="s">
        <v>27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</row>
    <row r="16" spans="1:19" ht="22.5">
      <c r="A16" s="8">
        <v>3</v>
      </c>
      <c r="B16" s="10" t="s">
        <v>368</v>
      </c>
      <c r="C16" s="9" t="s">
        <v>27</v>
      </c>
      <c r="D16" s="164">
        <v>258943.42499999999</v>
      </c>
      <c r="E16" s="65">
        <v>254336.68000000002</v>
      </c>
      <c r="F16" s="66">
        <v>363885.18</v>
      </c>
      <c r="G16" s="67">
        <v>69615.990000000005</v>
      </c>
      <c r="H16" s="67">
        <v>62478.13</v>
      </c>
      <c r="I16" s="67">
        <v>51988.61</v>
      </c>
      <c r="J16" s="67">
        <v>17377.95</v>
      </c>
      <c r="K16" s="67">
        <v>7590.73</v>
      </c>
      <c r="L16" s="67">
        <v>7312.23</v>
      </c>
      <c r="M16" s="67">
        <v>65.900000000000006</v>
      </c>
      <c r="N16" s="67">
        <v>7555.98</v>
      </c>
      <c r="O16" s="67">
        <v>7347.23</v>
      </c>
      <c r="P16" s="67">
        <v>23853.54</v>
      </c>
      <c r="Q16" s="67">
        <v>45133.16</v>
      </c>
      <c r="R16" s="67">
        <v>63565.69</v>
      </c>
    </row>
    <row r="17" spans="1:19" ht="22.5">
      <c r="A17" s="8">
        <v>4</v>
      </c>
      <c r="B17" s="10" t="s">
        <v>36</v>
      </c>
      <c r="C17" s="9" t="s">
        <v>27</v>
      </c>
      <c r="D17" s="65">
        <v>33770.03</v>
      </c>
      <c r="E17" s="65">
        <v>31548.880000000001</v>
      </c>
      <c r="F17" s="66">
        <v>39832.29</v>
      </c>
      <c r="G17" s="67">
        <v>6533.02</v>
      </c>
      <c r="H17" s="67">
        <v>5881.18</v>
      </c>
      <c r="I17" s="67">
        <v>5606.69</v>
      </c>
      <c r="J17" s="67">
        <v>2612.1999999999998</v>
      </c>
      <c r="K17" s="67">
        <v>1089.93</v>
      </c>
      <c r="L17" s="67">
        <v>1054.77</v>
      </c>
      <c r="M17" s="67">
        <v>16.649999999999999</v>
      </c>
      <c r="N17" s="67">
        <v>1089.93</v>
      </c>
      <c r="O17" s="67">
        <v>1054.78</v>
      </c>
      <c r="P17" s="67">
        <v>3216.3</v>
      </c>
      <c r="Q17" s="67">
        <v>5415.2</v>
      </c>
      <c r="R17" s="67">
        <v>6261.6</v>
      </c>
    </row>
    <row r="18" spans="1:19">
      <c r="A18" s="8"/>
      <c r="B18" s="10" t="s">
        <v>375</v>
      </c>
      <c r="C18" s="9" t="s">
        <v>4</v>
      </c>
      <c r="D18" s="164">
        <v>13.041470352066288</v>
      </c>
      <c r="E18" s="164">
        <v>12.404376749747618</v>
      </c>
      <c r="F18" s="165">
        <v>10.94637994835403</v>
      </c>
      <c r="G18" s="166">
        <v>9.3843670110846649</v>
      </c>
      <c r="H18" s="166">
        <v>9.4131818605966604</v>
      </c>
      <c r="I18" s="166">
        <v>10.784458365014951</v>
      </c>
      <c r="J18" s="166">
        <v>15.031692460848372</v>
      </c>
      <c r="K18" s="166">
        <v>14.358698043534682</v>
      </c>
      <c r="L18" s="166">
        <v>14.424737733906074</v>
      </c>
      <c r="M18" s="166">
        <v>25.265553869499236</v>
      </c>
      <c r="N18" s="166">
        <v>14.42473378701373</v>
      </c>
      <c r="O18" s="166">
        <v>14.35615871559758</v>
      </c>
      <c r="P18" s="166">
        <v>13.483533261729704</v>
      </c>
      <c r="Q18" s="166">
        <v>11.998273553192375</v>
      </c>
      <c r="R18" s="166">
        <v>9.8505970752460961</v>
      </c>
    </row>
    <row r="19" spans="1:19" ht="27" customHeight="1">
      <c r="A19" s="8" t="s">
        <v>37</v>
      </c>
      <c r="B19" s="10" t="s">
        <v>38</v>
      </c>
      <c r="C19" s="9" t="s">
        <v>27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</row>
    <row r="20" spans="1:19">
      <c r="A20" s="8"/>
      <c r="B20" s="10" t="s">
        <v>369</v>
      </c>
      <c r="C20" s="9" t="s">
        <v>4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</row>
    <row r="21" spans="1:19" ht="22.5">
      <c r="A21" s="139" t="s">
        <v>345</v>
      </c>
      <c r="B21" s="10" t="s">
        <v>348</v>
      </c>
      <c r="C21" s="140" t="s">
        <v>27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</row>
    <row r="22" spans="1:19" ht="22.5">
      <c r="A22" s="139" t="s">
        <v>347</v>
      </c>
      <c r="B22" s="10" t="s">
        <v>346</v>
      </c>
      <c r="C22" s="140" t="s">
        <v>27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</row>
    <row r="23" spans="1:19">
      <c r="A23" s="139"/>
      <c r="B23" s="10" t="s">
        <v>349</v>
      </c>
      <c r="C23" s="140" t="s">
        <v>4</v>
      </c>
      <c r="D23" s="65">
        <v>0</v>
      </c>
      <c r="E23" s="65">
        <v>0</v>
      </c>
      <c r="F23" s="167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</row>
    <row r="24" spans="1:19" ht="22.5">
      <c r="A24" s="139" t="s">
        <v>350</v>
      </c>
      <c r="B24" s="10" t="s">
        <v>39</v>
      </c>
      <c r="C24" s="140" t="s">
        <v>27</v>
      </c>
      <c r="D24" s="71">
        <v>225173.39499999999</v>
      </c>
      <c r="E24" s="72">
        <v>222787.80000000002</v>
      </c>
      <c r="F24" s="71">
        <v>324052.89199999999</v>
      </c>
      <c r="G24" s="67">
        <v>63082.97</v>
      </c>
      <c r="H24" s="67">
        <v>56596.950000000004</v>
      </c>
      <c r="I24" s="67">
        <v>46381.920000000006</v>
      </c>
      <c r="J24" s="67">
        <v>14765.749999999998</v>
      </c>
      <c r="K24" s="67">
        <v>6500.7999999999993</v>
      </c>
      <c r="L24" s="67">
        <v>6257.4599999999991</v>
      </c>
      <c r="M24" s="67">
        <v>49.25</v>
      </c>
      <c r="N24" s="67">
        <v>6466.0499999999993</v>
      </c>
      <c r="O24" s="67">
        <v>6292.4499999999989</v>
      </c>
      <c r="P24" s="67">
        <v>20637.242000000002</v>
      </c>
      <c r="Q24" s="67">
        <v>39717.960000000006</v>
      </c>
      <c r="R24" s="67">
        <v>57304.09</v>
      </c>
    </row>
    <row r="25" spans="1:19" ht="22.5">
      <c r="A25" s="139" t="s">
        <v>351</v>
      </c>
      <c r="B25" s="10" t="s">
        <v>352</v>
      </c>
      <c r="C25" s="140" t="s">
        <v>27</v>
      </c>
      <c r="D25" s="156">
        <v>0</v>
      </c>
      <c r="E25" s="159">
        <v>0</v>
      </c>
      <c r="F25" s="172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0</v>
      </c>
      <c r="Q25" s="159">
        <v>0</v>
      </c>
      <c r="R25" s="159">
        <v>0</v>
      </c>
    </row>
    <row r="26" spans="1:19" s="18" customFormat="1" ht="13.5" customHeight="1">
      <c r="A26" s="136" t="s">
        <v>353</v>
      </c>
      <c r="B26" s="137" t="s">
        <v>143</v>
      </c>
      <c r="C26" s="67" t="s">
        <v>27</v>
      </c>
      <c r="D26" s="65">
        <v>356.56</v>
      </c>
      <c r="E26" s="65">
        <v>399.34</v>
      </c>
      <c r="F26" s="165">
        <v>403.75199999999995</v>
      </c>
      <c r="G26" s="67">
        <v>92.3</v>
      </c>
      <c r="H26" s="67">
        <v>82.4</v>
      </c>
      <c r="I26" s="67">
        <v>61.9</v>
      </c>
      <c r="J26" s="67">
        <v>11.1</v>
      </c>
      <c r="K26" s="67">
        <v>0.7</v>
      </c>
      <c r="L26" s="67">
        <v>0.7</v>
      </c>
      <c r="M26" s="67">
        <v>0</v>
      </c>
      <c r="N26" s="67">
        <v>0.7</v>
      </c>
      <c r="O26" s="67">
        <v>0.7</v>
      </c>
      <c r="P26" s="67">
        <v>21.002000000000002</v>
      </c>
      <c r="Q26" s="67">
        <v>50.5</v>
      </c>
      <c r="R26" s="67">
        <v>81.75</v>
      </c>
    </row>
    <row r="27" spans="1:19" ht="22.5" customHeight="1">
      <c r="A27" s="139" t="s">
        <v>354</v>
      </c>
      <c r="B27" s="10" t="s">
        <v>366</v>
      </c>
      <c r="C27" s="140" t="s">
        <v>27</v>
      </c>
      <c r="D27" s="168">
        <v>224816.83499999999</v>
      </c>
      <c r="E27" s="173">
        <v>222388.46000000002</v>
      </c>
      <c r="F27" s="168">
        <v>323649.14</v>
      </c>
      <c r="G27" s="176">
        <v>62990.67</v>
      </c>
      <c r="H27" s="168">
        <v>56514.55</v>
      </c>
      <c r="I27" s="168">
        <v>46320.020000000004</v>
      </c>
      <c r="J27" s="168">
        <v>14754.649999999998</v>
      </c>
      <c r="K27" s="168">
        <v>6500.0999999999995</v>
      </c>
      <c r="L27" s="168">
        <v>6256.7599999999993</v>
      </c>
      <c r="M27" s="168">
        <v>49.25</v>
      </c>
      <c r="N27" s="168">
        <v>6465.3499999999995</v>
      </c>
      <c r="O27" s="168">
        <v>6291.7499999999991</v>
      </c>
      <c r="P27" s="168">
        <v>20616.240000000002</v>
      </c>
      <c r="Q27" s="168">
        <v>39667.460000000006</v>
      </c>
      <c r="R27" s="168">
        <v>57222.34</v>
      </c>
      <c r="S27" s="170"/>
    </row>
    <row r="28" spans="1:19">
      <c r="A28" s="139" t="s">
        <v>355</v>
      </c>
      <c r="B28" s="10" t="s">
        <v>3</v>
      </c>
      <c r="C28" s="140" t="s">
        <v>27</v>
      </c>
      <c r="D28" s="65">
        <v>205715.09099999999</v>
      </c>
      <c r="E28" s="157">
        <v>199407.9</v>
      </c>
      <c r="F28" s="165">
        <v>284901.65000000002</v>
      </c>
      <c r="G28" s="86">
        <v>54760.86</v>
      </c>
      <c r="H28" s="67">
        <v>49100.480000000003</v>
      </c>
      <c r="I28" s="67">
        <v>40448</v>
      </c>
      <c r="J28" s="67">
        <v>13299.15</v>
      </c>
      <c r="K28" s="67">
        <v>6206.4</v>
      </c>
      <c r="L28" s="67">
        <v>6006.19</v>
      </c>
      <c r="M28" s="67">
        <v>0</v>
      </c>
      <c r="N28" s="67">
        <v>6206.4</v>
      </c>
      <c r="O28" s="67">
        <v>6006.19</v>
      </c>
      <c r="P28" s="67">
        <v>18359.400000000001</v>
      </c>
      <c r="Q28" s="67">
        <v>34726.94</v>
      </c>
      <c r="R28" s="67">
        <v>49781.64</v>
      </c>
      <c r="S28" s="170"/>
    </row>
    <row r="29" spans="1:19">
      <c r="A29" s="139"/>
      <c r="B29" s="10" t="s">
        <v>365</v>
      </c>
      <c r="C29" s="140" t="s">
        <v>4</v>
      </c>
      <c r="D29" s="71">
        <v>91.503419216803763</v>
      </c>
      <c r="E29" s="174">
        <v>89.666478197654669</v>
      </c>
      <c r="F29" s="71">
        <v>88.027933582644465</v>
      </c>
      <c r="G29" s="171">
        <v>86.934874640958739</v>
      </c>
      <c r="H29" s="166">
        <v>86.881130611497397</v>
      </c>
      <c r="I29" s="166">
        <v>87.322932934830334</v>
      </c>
      <c r="J29" s="166">
        <v>90.135313274120378</v>
      </c>
      <c r="K29" s="166">
        <v>95.481607975261923</v>
      </c>
      <c r="L29" s="166">
        <v>95.995211579155992</v>
      </c>
      <c r="M29" s="166">
        <v>0</v>
      </c>
      <c r="N29" s="166">
        <v>95.994803065572626</v>
      </c>
      <c r="O29" s="166">
        <v>95.46135812770693</v>
      </c>
      <c r="P29" s="166">
        <v>89.053096005867218</v>
      </c>
      <c r="Q29" s="166">
        <v>87.545156659892015</v>
      </c>
      <c r="R29" s="166">
        <v>86.996861715197255</v>
      </c>
    </row>
    <row r="30" spans="1:19">
      <c r="A30" s="139" t="s">
        <v>356</v>
      </c>
      <c r="B30" s="10" t="s">
        <v>341</v>
      </c>
      <c r="C30" s="140" t="s">
        <v>27</v>
      </c>
      <c r="D30" s="65"/>
      <c r="E30" s="157"/>
      <c r="F30" s="164"/>
      <c r="G30" s="86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</row>
    <row r="31" spans="1:19">
      <c r="A31" s="139"/>
      <c r="B31" s="10" t="s">
        <v>365</v>
      </c>
      <c r="C31" s="140" t="s">
        <v>4</v>
      </c>
      <c r="D31" s="71"/>
      <c r="E31" s="174"/>
      <c r="F31" s="71"/>
      <c r="G31" s="86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</row>
    <row r="32" spans="1:19">
      <c r="A32" s="139" t="s">
        <v>357</v>
      </c>
      <c r="B32" s="10" t="s">
        <v>149</v>
      </c>
      <c r="C32" s="140" t="s">
        <v>27</v>
      </c>
      <c r="D32" s="65">
        <v>13341.011</v>
      </c>
      <c r="E32" s="157">
        <v>15745.7</v>
      </c>
      <c r="F32" s="164">
        <v>25439.26</v>
      </c>
      <c r="G32" s="86">
        <v>5369.84</v>
      </c>
      <c r="H32" s="67">
        <v>4851.93</v>
      </c>
      <c r="I32" s="67">
        <v>3848.36</v>
      </c>
      <c r="J32" s="67">
        <v>967.29</v>
      </c>
      <c r="K32" s="67">
        <v>207.58</v>
      </c>
      <c r="L32" s="67">
        <v>167.25</v>
      </c>
      <c r="M32" s="67">
        <v>49.25</v>
      </c>
      <c r="N32" s="67">
        <v>172.83</v>
      </c>
      <c r="O32" s="67">
        <v>202.24</v>
      </c>
      <c r="P32" s="67">
        <v>1491.08</v>
      </c>
      <c r="Q32" s="67">
        <v>3240.26</v>
      </c>
      <c r="R32" s="67">
        <v>4871.3500000000004</v>
      </c>
    </row>
    <row r="33" spans="1:23">
      <c r="A33" s="139"/>
      <c r="B33" s="10" t="s">
        <v>365</v>
      </c>
      <c r="C33" s="140" t="s">
        <v>4</v>
      </c>
      <c r="D33" s="71">
        <v>5.9341690314250712</v>
      </c>
      <c r="E33" s="174">
        <v>7.080268463570456</v>
      </c>
      <c r="F33" s="71">
        <v>7.8601352069095558</v>
      </c>
      <c r="G33" s="171">
        <v>8.5248180405129848</v>
      </c>
      <c r="H33" s="166">
        <v>8.5852758271984833</v>
      </c>
      <c r="I33" s="166">
        <v>8.308200212348785</v>
      </c>
      <c r="J33" s="166">
        <v>6.5558315514092174</v>
      </c>
      <c r="K33" s="166">
        <v>3.193489330933371</v>
      </c>
      <c r="L33" s="166">
        <v>2.6731087655591712</v>
      </c>
      <c r="M33" s="166">
        <v>100</v>
      </c>
      <c r="N33" s="166">
        <v>2.673173146078712</v>
      </c>
      <c r="O33" s="166">
        <v>3.2143680216156088</v>
      </c>
      <c r="P33" s="166">
        <v>7.2325506493909648</v>
      </c>
      <c r="Q33" s="166">
        <v>8.1685593178892724</v>
      </c>
      <c r="R33" s="166">
        <v>8.5130213130046783</v>
      </c>
      <c r="U33" s="3" t="s">
        <v>357</v>
      </c>
      <c r="V33" s="3" t="s">
        <v>149</v>
      </c>
      <c r="W33" s="3" t="s">
        <v>27</v>
      </c>
    </row>
    <row r="34" spans="1:23">
      <c r="A34" s="139" t="s">
        <v>358</v>
      </c>
      <c r="B34" s="10" t="s">
        <v>151</v>
      </c>
      <c r="C34" s="140" t="s">
        <v>27</v>
      </c>
      <c r="D34" s="65">
        <v>5760.7330000000002</v>
      </c>
      <c r="E34" s="157">
        <v>7234.8600000000006</v>
      </c>
      <c r="F34" s="164">
        <v>13308.23</v>
      </c>
      <c r="G34" s="171">
        <v>2859.97</v>
      </c>
      <c r="H34" s="166">
        <v>2562.14</v>
      </c>
      <c r="I34" s="166">
        <v>2023.66</v>
      </c>
      <c r="J34" s="166">
        <v>488.21</v>
      </c>
      <c r="K34" s="166">
        <v>86.12</v>
      </c>
      <c r="L34" s="166">
        <v>83.32</v>
      </c>
      <c r="M34" s="166">
        <v>0</v>
      </c>
      <c r="N34" s="166">
        <v>86.12</v>
      </c>
      <c r="O34" s="166">
        <v>83.32</v>
      </c>
      <c r="P34" s="166">
        <v>765.76</v>
      </c>
      <c r="Q34" s="166">
        <v>1700.26</v>
      </c>
      <c r="R34" s="166">
        <v>2569.35</v>
      </c>
      <c r="V34" s="3" t="s">
        <v>365</v>
      </c>
      <c r="W34" s="3" t="s">
        <v>4</v>
      </c>
    </row>
    <row r="35" spans="1:23">
      <c r="A35" s="139"/>
      <c r="B35" s="10" t="s">
        <v>365</v>
      </c>
      <c r="C35" s="140" t="s">
        <v>4</v>
      </c>
      <c r="D35" s="71">
        <v>2.5624117517711698</v>
      </c>
      <c r="E35" s="174">
        <v>3.2532533387748628</v>
      </c>
      <c r="F35" s="71">
        <v>4.1119312104459782</v>
      </c>
      <c r="G35" s="171">
        <v>4.5403073185282832</v>
      </c>
      <c r="H35" s="166">
        <v>4.5335935613041238</v>
      </c>
      <c r="I35" s="166">
        <v>4.3688668528208749</v>
      </c>
      <c r="J35" s="166">
        <v>3.3088551744704215</v>
      </c>
      <c r="K35" s="166">
        <v>1.3249026938047108</v>
      </c>
      <c r="L35" s="166">
        <v>1.331679655284844</v>
      </c>
      <c r="M35" s="166">
        <v>0</v>
      </c>
      <c r="N35" s="166">
        <v>1.3320237883486588</v>
      </c>
      <c r="O35" s="166">
        <v>1.3242738506774745</v>
      </c>
      <c r="P35" s="166">
        <v>3.7143533447418151</v>
      </c>
      <c r="Q35" s="166">
        <v>4.2862840222187142</v>
      </c>
      <c r="R35" s="166">
        <v>4.490116971798078</v>
      </c>
    </row>
    <row r="36" spans="1:23" ht="21.75" customHeight="1">
      <c r="A36" s="139" t="s">
        <v>359</v>
      </c>
      <c r="B36" s="10" t="s">
        <v>360</v>
      </c>
      <c r="C36" s="140" t="s">
        <v>43</v>
      </c>
      <c r="D36" s="163">
        <v>158.65800000000002</v>
      </c>
      <c r="E36" s="175">
        <v>159.012</v>
      </c>
      <c r="F36" s="163">
        <v>156.72999999999999</v>
      </c>
      <c r="G36" s="177">
        <v>156.72999999999999</v>
      </c>
      <c r="H36" s="163">
        <v>156.72999999999999</v>
      </c>
      <c r="I36" s="163">
        <v>156.72999999999999</v>
      </c>
      <c r="J36" s="163">
        <v>74.08</v>
      </c>
      <c r="K36" s="163">
        <v>26.23</v>
      </c>
      <c r="L36" s="163">
        <v>26.23</v>
      </c>
      <c r="M36" s="163">
        <v>0.28000000000000003</v>
      </c>
      <c r="N36" s="163">
        <v>26.23</v>
      </c>
      <c r="O36" s="163">
        <v>26.23</v>
      </c>
      <c r="P36" s="163">
        <v>89.38</v>
      </c>
      <c r="Q36" s="163">
        <v>156.72999999999999</v>
      </c>
      <c r="R36" s="163">
        <v>156.72999999999999</v>
      </c>
    </row>
    <row r="37" spans="1:23">
      <c r="A37" s="139" t="s">
        <v>361</v>
      </c>
      <c r="B37" s="10" t="s">
        <v>3</v>
      </c>
      <c r="C37" s="140" t="s">
        <v>43</v>
      </c>
      <c r="D37" s="169">
        <v>142.21100000000001</v>
      </c>
      <c r="E37" s="169">
        <v>143.191</v>
      </c>
      <c r="F37" s="169">
        <v>136.54</v>
      </c>
      <c r="G37" s="169">
        <v>136.54</v>
      </c>
      <c r="H37" s="169">
        <v>136.54</v>
      </c>
      <c r="I37" s="169">
        <v>136.54</v>
      </c>
      <c r="J37" s="169">
        <v>65.91</v>
      </c>
      <c r="K37" s="169">
        <v>25.01</v>
      </c>
      <c r="L37" s="169">
        <v>25.01</v>
      </c>
      <c r="M37" s="169">
        <v>0</v>
      </c>
      <c r="N37" s="169">
        <v>25.01</v>
      </c>
      <c r="O37" s="169">
        <v>25.01</v>
      </c>
      <c r="P37" s="169">
        <v>78.98</v>
      </c>
      <c r="Q37" s="169">
        <v>136.54</v>
      </c>
      <c r="R37" s="169">
        <v>136.54</v>
      </c>
    </row>
    <row r="38" spans="1:23">
      <c r="A38" s="139" t="s">
        <v>362</v>
      </c>
      <c r="B38" s="10" t="s">
        <v>341</v>
      </c>
      <c r="C38" s="140" t="s">
        <v>43</v>
      </c>
      <c r="D38" s="30"/>
      <c r="E38" s="30"/>
      <c r="F38" s="166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</row>
    <row r="39" spans="1:23">
      <c r="A39" s="139" t="s">
        <v>363</v>
      </c>
      <c r="B39" s="10" t="s">
        <v>149</v>
      </c>
      <c r="C39" s="140" t="s">
        <v>43</v>
      </c>
      <c r="D39" s="169">
        <v>9.4619999999999997</v>
      </c>
      <c r="E39" s="169">
        <v>8.91</v>
      </c>
      <c r="F39" s="169">
        <v>13.08</v>
      </c>
      <c r="G39" s="169">
        <v>13.08</v>
      </c>
      <c r="H39" s="169">
        <v>13.08</v>
      </c>
      <c r="I39" s="169">
        <v>13.08</v>
      </c>
      <c r="J39" s="169">
        <v>5.3390000000000004</v>
      </c>
      <c r="K39" s="169">
        <v>0.86</v>
      </c>
      <c r="L39" s="169">
        <v>0.86</v>
      </c>
      <c r="M39" s="169">
        <v>0.28000000000000003</v>
      </c>
      <c r="N39" s="169">
        <v>0.86</v>
      </c>
      <c r="O39" s="169">
        <v>0.86</v>
      </c>
      <c r="P39" s="169">
        <v>6.77</v>
      </c>
      <c r="Q39" s="169">
        <v>13.08</v>
      </c>
      <c r="R39" s="169">
        <v>13.08</v>
      </c>
    </row>
    <row r="40" spans="1:23">
      <c r="A40" s="139" t="s">
        <v>364</v>
      </c>
      <c r="B40" s="10" t="s">
        <v>151</v>
      </c>
      <c r="C40" s="140" t="s">
        <v>43</v>
      </c>
      <c r="D40" s="169">
        <v>6.9849999999999994</v>
      </c>
      <c r="E40" s="169">
        <v>6.9110000000000005</v>
      </c>
      <c r="F40" s="169">
        <v>7.12</v>
      </c>
      <c r="G40" s="169">
        <v>7.12</v>
      </c>
      <c r="H40" s="169">
        <v>7.12</v>
      </c>
      <c r="I40" s="169">
        <v>7.12</v>
      </c>
      <c r="J40" s="169">
        <v>2.84</v>
      </c>
      <c r="K40" s="169">
        <v>0.36</v>
      </c>
      <c r="L40" s="169">
        <v>0.36</v>
      </c>
      <c r="M40" s="169">
        <v>0</v>
      </c>
      <c r="N40" s="169">
        <v>0.36</v>
      </c>
      <c r="O40" s="169">
        <v>0.36</v>
      </c>
      <c r="P40" s="169">
        <v>3.63</v>
      </c>
      <c r="Q40" s="169">
        <v>7.12</v>
      </c>
      <c r="R40" s="169">
        <v>7.12</v>
      </c>
    </row>
    <row r="41" spans="1:23" ht="12.75" customHeight="1"/>
    <row r="42" spans="1:23">
      <c r="B42" s="11" t="s">
        <v>47</v>
      </c>
      <c r="D42" s="170"/>
      <c r="F42" s="170"/>
      <c r="I42" s="178" t="s">
        <v>491</v>
      </c>
    </row>
    <row r="43" spans="1:23">
      <c r="B43" s="12" t="s">
        <v>48</v>
      </c>
    </row>
    <row r="44" spans="1:23" ht="30">
      <c r="A44" s="74" t="s">
        <v>40</v>
      </c>
      <c r="B44" s="75" t="s">
        <v>317</v>
      </c>
      <c r="C44" s="141" t="s">
        <v>27</v>
      </c>
      <c r="D44" s="76"/>
      <c r="E44" s="76"/>
      <c r="F44" s="76">
        <f>F25</f>
        <v>0</v>
      </c>
    </row>
    <row r="45" spans="1:23" ht="30">
      <c r="A45" s="74" t="s">
        <v>315</v>
      </c>
      <c r="B45" s="75" t="s">
        <v>316</v>
      </c>
      <c r="C45" s="69" t="s">
        <v>27</v>
      </c>
      <c r="D45" s="76"/>
      <c r="E45" s="76"/>
      <c r="F45" s="77">
        <f>$F$44/$F$27*F28</f>
        <v>0</v>
      </c>
    </row>
    <row r="46" spans="1:23" ht="30">
      <c r="A46" s="74" t="s">
        <v>318</v>
      </c>
      <c r="B46" s="75" t="s">
        <v>334</v>
      </c>
      <c r="C46" s="69" t="s">
        <v>27</v>
      </c>
      <c r="D46" s="76"/>
      <c r="E46" s="76"/>
      <c r="F46" s="77">
        <f>$F$44/$F$27*F30</f>
        <v>0</v>
      </c>
    </row>
    <row r="47" spans="1:23" ht="30">
      <c r="A47" s="74" t="s">
        <v>319</v>
      </c>
      <c r="B47" s="115" t="s">
        <v>320</v>
      </c>
      <c r="C47" s="110" t="s">
        <v>27</v>
      </c>
      <c r="D47" s="76"/>
      <c r="E47" s="76"/>
      <c r="F47" s="83">
        <f>$F$44/$F$27*F32</f>
        <v>0</v>
      </c>
    </row>
    <row r="48" spans="1:23" ht="15.75" thickBot="1">
      <c r="A48" s="114" t="s">
        <v>333</v>
      </c>
      <c r="B48" s="75" t="s">
        <v>321</v>
      </c>
      <c r="C48" s="69" t="s">
        <v>27</v>
      </c>
      <c r="D48" s="76"/>
      <c r="E48" s="76"/>
      <c r="F48" s="83">
        <f>$F$44/$F$27*F34</f>
        <v>0</v>
      </c>
    </row>
    <row r="49" spans="1:6" ht="30.75" thickBot="1">
      <c r="A49" s="79" t="s">
        <v>322</v>
      </c>
      <c r="B49" s="80" t="s">
        <v>326</v>
      </c>
      <c r="C49" s="78" t="s">
        <v>27</v>
      </c>
      <c r="D49" s="76"/>
      <c r="E49" s="82"/>
      <c r="F49" s="85">
        <v>0</v>
      </c>
    </row>
    <row r="50" spans="1:6" ht="30">
      <c r="A50" s="79" t="s">
        <v>323</v>
      </c>
      <c r="B50" s="80" t="s">
        <v>327</v>
      </c>
      <c r="C50" s="78" t="s">
        <v>27</v>
      </c>
      <c r="D50" s="76"/>
      <c r="E50" s="76"/>
      <c r="F50" s="84">
        <f>IF($F$44=0,0,ROUND($F$49/$F$44*F45,6))</f>
        <v>0</v>
      </c>
    </row>
    <row r="51" spans="1:6" ht="30">
      <c r="A51" s="79" t="s">
        <v>324</v>
      </c>
      <c r="B51" s="80" t="s">
        <v>332</v>
      </c>
      <c r="C51" s="78" t="s">
        <v>27</v>
      </c>
      <c r="D51" s="76"/>
      <c r="E51" s="76"/>
      <c r="F51" s="81">
        <f>IF(F44=0,0,ROUND($F$49/$F$44*F46,6))</f>
        <v>0</v>
      </c>
    </row>
    <row r="52" spans="1:6" ht="30">
      <c r="A52" s="79" t="s">
        <v>325</v>
      </c>
      <c r="B52" s="115" t="s">
        <v>328</v>
      </c>
      <c r="C52" s="110" t="s">
        <v>27</v>
      </c>
      <c r="D52" s="76"/>
      <c r="E52" s="76"/>
      <c r="F52" s="81">
        <f>IF(F44=0,0,ROUND($F$49/$F$44*F47,6))</f>
        <v>0</v>
      </c>
    </row>
    <row r="53" spans="1:6" ht="30">
      <c r="A53" s="114" t="s">
        <v>331</v>
      </c>
      <c r="B53" s="80" t="s">
        <v>329</v>
      </c>
      <c r="C53" s="78" t="s">
        <v>27</v>
      </c>
      <c r="D53" s="76"/>
      <c r="E53" s="76"/>
      <c r="F53" s="81">
        <f>IF(F44=0,0,ROUND($F$49/$F$44*F48,6))</f>
        <v>0</v>
      </c>
    </row>
  </sheetData>
  <mergeCells count="11">
    <mergeCell ref="O1:R3"/>
    <mergeCell ref="G7:R7"/>
    <mergeCell ref="B4:Q4"/>
    <mergeCell ref="A5:R5"/>
    <mergeCell ref="A7:A8"/>
    <mergeCell ref="B7:B8"/>
    <mergeCell ref="C7:C8"/>
    <mergeCell ref="D7:D8"/>
    <mergeCell ref="E7:E8"/>
    <mergeCell ref="F7:F8"/>
    <mergeCell ref="E6:J6"/>
  </mergeCells>
  <conditionalFormatting sqref="A5:R5">
    <cfRule type="cellIs" dxfId="12" priority="1" operator="equal">
      <formula>0</formula>
    </cfRule>
  </conditionalFormatting>
  <printOptions horizontalCentered="1"/>
  <pageMargins left="0.47244094488188981" right="0.31496062992125984" top="0.21" bottom="0.25" header="0.31496062992125984" footer="0.31496062992125984"/>
  <pageSetup paperSize="9" scale="68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C2" sqref="C2:C3"/>
    </sheetView>
  </sheetViews>
  <sheetFormatPr defaultRowHeight="15"/>
  <cols>
    <col min="1" max="1" width="4.42578125" customWidth="1"/>
    <col min="2" max="2" width="54" customWidth="1"/>
    <col min="3" max="3" width="4.85546875" customWidth="1"/>
    <col min="4" max="4" width="49.85546875" customWidth="1"/>
  </cols>
  <sheetData>
    <row r="1" spans="1:4">
      <c r="A1" s="327" t="s">
        <v>207</v>
      </c>
      <c r="B1" s="327"/>
      <c r="C1" s="328" t="s">
        <v>201</v>
      </c>
      <c r="D1" s="328"/>
    </row>
    <row r="2" spans="1:4">
      <c r="B2" s="10" t="s">
        <v>63</v>
      </c>
      <c r="C2" s="14" t="s">
        <v>205</v>
      </c>
      <c r="D2" s="15" t="s">
        <v>160</v>
      </c>
    </row>
    <row r="3" spans="1:4">
      <c r="B3" s="10" t="s">
        <v>66</v>
      </c>
      <c r="C3" s="14" t="s">
        <v>206</v>
      </c>
      <c r="D3" s="15" t="s">
        <v>77</v>
      </c>
    </row>
    <row r="4" spans="1:4">
      <c r="B4" s="10" t="s">
        <v>68</v>
      </c>
    </row>
    <row r="5" spans="1:4">
      <c r="B5" s="10" t="s">
        <v>77</v>
      </c>
    </row>
  </sheetData>
  <mergeCells count="2">
    <mergeCell ref="A1:B1"/>
    <mergeCell ref="C1:D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AB54"/>
  <sheetViews>
    <sheetView view="pageBreakPreview" topLeftCell="B1" zoomScale="85" zoomScaleNormal="85" zoomScaleSheetLayoutView="85" workbookViewId="0">
      <pane ySplit="8" topLeftCell="A36" activePane="bottomLeft" state="frozen"/>
      <selection activeCell="E13" sqref="E13"/>
      <selection pane="bottomLeft" activeCell="P36" sqref="P36"/>
    </sheetView>
  </sheetViews>
  <sheetFormatPr defaultRowHeight="15"/>
  <cols>
    <col min="1" max="1" width="5" style="1" hidden="1" customWidth="1"/>
    <col min="2" max="2" width="5.42578125" style="1" customWidth="1"/>
    <col min="3" max="3" width="39.28515625" style="3" customWidth="1"/>
    <col min="4" max="4" width="8.28515625" style="3" customWidth="1"/>
    <col min="5" max="27" width="8.5703125" style="3" customWidth="1"/>
    <col min="28" max="28" width="10.42578125" style="3" customWidth="1"/>
    <col min="29" max="16384" width="9.140625" style="3"/>
  </cols>
  <sheetData>
    <row r="1" spans="1:28" ht="73.5" customHeight="1">
      <c r="A1" s="43"/>
      <c r="B1" s="43"/>
      <c r="C1" s="7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17"/>
      <c r="Q1" s="117"/>
      <c r="R1" s="117"/>
      <c r="S1" s="117"/>
      <c r="T1" s="117"/>
      <c r="U1" s="117"/>
      <c r="V1" s="117"/>
      <c r="W1" s="117"/>
      <c r="X1" s="226" t="s">
        <v>425</v>
      </c>
      <c r="Y1" s="226"/>
      <c r="Z1" s="226"/>
      <c r="AA1" s="226"/>
      <c r="AB1" s="226"/>
    </row>
    <row r="2" spans="1:28">
      <c r="A2" s="43"/>
      <c r="B2" s="43"/>
      <c r="C2" s="87"/>
      <c r="D2" s="227" t="s">
        <v>49</v>
      </c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</row>
    <row r="3" spans="1:28">
      <c r="A3" s="43"/>
      <c r="B3" s="43"/>
      <c r="C3" s="34"/>
      <c r="D3" s="228" t="s">
        <v>490</v>
      </c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</row>
    <row r="4" spans="1:28">
      <c r="A4" s="43"/>
      <c r="B4" s="43"/>
      <c r="C4" s="34"/>
      <c r="D4" s="230" t="s">
        <v>50</v>
      </c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4" t="s">
        <v>51</v>
      </c>
      <c r="AB4" s="234"/>
    </row>
    <row r="5" spans="1:28" ht="16.5" customHeight="1">
      <c r="A5" s="233" t="s">
        <v>10</v>
      </c>
      <c r="B5" s="233" t="s">
        <v>10</v>
      </c>
      <c r="C5" s="235" t="s">
        <v>11</v>
      </c>
      <c r="D5" s="231" t="s">
        <v>52</v>
      </c>
      <c r="E5" s="238" t="s">
        <v>53</v>
      </c>
      <c r="F5" s="239"/>
      <c r="G5" s="239"/>
      <c r="H5" s="240"/>
      <c r="I5" s="238" t="s">
        <v>54</v>
      </c>
      <c r="J5" s="239"/>
      <c r="K5" s="239"/>
      <c r="L5" s="240"/>
      <c r="M5" s="238" t="s">
        <v>335</v>
      </c>
      <c r="N5" s="239"/>
      <c r="O5" s="239"/>
      <c r="P5" s="240"/>
      <c r="Q5" s="238" t="s">
        <v>474</v>
      </c>
      <c r="R5" s="239"/>
      <c r="S5" s="239"/>
      <c r="T5" s="240"/>
      <c r="U5" s="244" t="s">
        <v>479</v>
      </c>
      <c r="V5" s="245"/>
      <c r="W5" s="245"/>
      <c r="X5" s="245"/>
      <c r="Y5" s="245"/>
      <c r="Z5" s="245"/>
      <c r="AA5" s="245"/>
      <c r="AB5" s="245"/>
    </row>
    <row r="6" spans="1:28" ht="40.5" customHeight="1">
      <c r="A6" s="233"/>
      <c r="B6" s="233"/>
      <c r="C6" s="235"/>
      <c r="D6" s="231"/>
      <c r="E6" s="241"/>
      <c r="F6" s="242"/>
      <c r="G6" s="242"/>
      <c r="H6" s="243"/>
      <c r="I6" s="241"/>
      <c r="J6" s="242"/>
      <c r="K6" s="242"/>
      <c r="L6" s="243"/>
      <c r="M6" s="241"/>
      <c r="N6" s="242"/>
      <c r="O6" s="242"/>
      <c r="P6" s="243"/>
      <c r="Q6" s="241"/>
      <c r="R6" s="242"/>
      <c r="S6" s="242"/>
      <c r="T6" s="243"/>
      <c r="U6" s="236" t="s">
        <v>55</v>
      </c>
      <c r="V6" s="236"/>
      <c r="W6" s="236"/>
      <c r="X6" s="236"/>
      <c r="Y6" s="231" t="s">
        <v>56</v>
      </c>
      <c r="Z6" s="231"/>
      <c r="AA6" s="231"/>
      <c r="AB6" s="231"/>
    </row>
    <row r="7" spans="1:28" ht="64.5" customHeight="1">
      <c r="A7" s="233"/>
      <c r="B7" s="233"/>
      <c r="C7" s="235"/>
      <c r="D7" s="231"/>
      <c r="E7" s="88" t="s">
        <v>475</v>
      </c>
      <c r="F7" s="88" t="s">
        <v>476</v>
      </c>
      <c r="G7" s="88" t="s">
        <v>116</v>
      </c>
      <c r="H7" s="88" t="s">
        <v>478</v>
      </c>
      <c r="I7" s="138" t="s">
        <v>475</v>
      </c>
      <c r="J7" s="138" t="s">
        <v>476</v>
      </c>
      <c r="K7" s="138" t="s">
        <v>116</v>
      </c>
      <c r="L7" s="138" t="s">
        <v>477</v>
      </c>
      <c r="M7" s="138" t="s">
        <v>475</v>
      </c>
      <c r="N7" s="138" t="s">
        <v>476</v>
      </c>
      <c r="O7" s="138" t="s">
        <v>116</v>
      </c>
      <c r="P7" s="138" t="s">
        <v>477</v>
      </c>
      <c r="Q7" s="152" t="s">
        <v>475</v>
      </c>
      <c r="R7" s="152" t="s">
        <v>476</v>
      </c>
      <c r="S7" s="152" t="s">
        <v>116</v>
      </c>
      <c r="T7" s="152" t="s">
        <v>477</v>
      </c>
      <c r="U7" s="138" t="s">
        <v>475</v>
      </c>
      <c r="V7" s="138" t="s">
        <v>476</v>
      </c>
      <c r="W7" s="138" t="s">
        <v>116</v>
      </c>
      <c r="X7" s="138" t="s">
        <v>477</v>
      </c>
      <c r="Y7" s="138" t="s">
        <v>475</v>
      </c>
      <c r="Z7" s="138" t="s">
        <v>476</v>
      </c>
      <c r="AA7" s="138" t="s">
        <v>116</v>
      </c>
      <c r="AB7" s="138" t="s">
        <v>477</v>
      </c>
    </row>
    <row r="8" spans="1:28" ht="11.25" customHeight="1">
      <c r="A8" s="89">
        <v>1</v>
      </c>
      <c r="B8" s="89">
        <v>1</v>
      </c>
      <c r="C8" s="88">
        <v>2</v>
      </c>
      <c r="D8" s="88">
        <v>3</v>
      </c>
      <c r="E8" s="88">
        <v>4</v>
      </c>
      <c r="F8" s="88">
        <v>5</v>
      </c>
      <c r="G8" s="88">
        <v>6</v>
      </c>
      <c r="H8" s="88">
        <v>7</v>
      </c>
      <c r="I8" s="88">
        <v>8</v>
      </c>
      <c r="J8" s="88">
        <v>9</v>
      </c>
      <c r="K8" s="88">
        <v>10</v>
      </c>
      <c r="L8" s="88">
        <v>11</v>
      </c>
      <c r="M8" s="88">
        <v>12</v>
      </c>
      <c r="N8" s="88">
        <v>13</v>
      </c>
      <c r="O8" s="88">
        <v>14</v>
      </c>
      <c r="P8" s="88">
        <v>15</v>
      </c>
      <c r="Q8" s="152">
        <v>16</v>
      </c>
      <c r="R8" s="152">
        <v>17</v>
      </c>
      <c r="S8" s="152">
        <v>18</v>
      </c>
      <c r="T8" s="152">
        <v>19</v>
      </c>
      <c r="U8" s="152">
        <v>20</v>
      </c>
      <c r="V8" s="152">
        <v>21</v>
      </c>
      <c r="W8" s="152">
        <v>22</v>
      </c>
      <c r="X8" s="152">
        <v>23</v>
      </c>
      <c r="Y8" s="152">
        <v>24</v>
      </c>
      <c r="Z8" s="152">
        <v>25</v>
      </c>
      <c r="AA8" s="152">
        <v>26</v>
      </c>
      <c r="AB8" s="152">
        <v>27</v>
      </c>
    </row>
    <row r="9" spans="1:28">
      <c r="A9" s="90">
        <v>1</v>
      </c>
      <c r="B9" s="90">
        <v>1</v>
      </c>
      <c r="C9" s="91" t="s">
        <v>57</v>
      </c>
      <c r="D9" s="88" t="s">
        <v>58</v>
      </c>
      <c r="E9" s="202">
        <f t="shared" ref="E9:F10" si="0">I9+M9+Q9</f>
        <v>109046.47</v>
      </c>
      <c r="F9" s="202">
        <f t="shared" si="0"/>
        <v>171135.32</v>
      </c>
      <c r="G9" s="40" t="e">
        <f>K9+O9+S9</f>
        <v>#VALUE!</v>
      </c>
      <c r="H9" s="40">
        <f t="shared" ref="G9:H11" si="1">L9+P9+T9</f>
        <v>334173.29805817938</v>
      </c>
      <c r="I9" s="202">
        <f t="shared" ref="I9:J9" si="2">I10+I25+I20+I21</f>
        <v>85189.12000000001</v>
      </c>
      <c r="J9" s="202">
        <f t="shared" si="2"/>
        <v>142999.9</v>
      </c>
      <c r="K9" s="40">
        <f>K10+K25+K20+K21</f>
        <v>273475.11739999999</v>
      </c>
      <c r="L9" s="40">
        <f>L10+L25+L20+L21</f>
        <v>278233.43221742637</v>
      </c>
      <c r="M9" s="202">
        <f t="shared" ref="M9:N9" si="3">M10+M25+M20+M21</f>
        <v>59.150000000000006</v>
      </c>
      <c r="N9" s="202">
        <f t="shared" si="3"/>
        <v>50.419999999999995</v>
      </c>
      <c r="O9" s="40">
        <f>O10+O25+O20+O21</f>
        <v>598.00079999999991</v>
      </c>
      <c r="P9" s="40">
        <f>P10+P25+P20+P21</f>
        <v>612.23813604400004</v>
      </c>
      <c r="Q9" s="202">
        <f t="shared" ref="Q9:R9" si="4">Q10+Q25+Q20+Q21</f>
        <v>23798.199999999997</v>
      </c>
      <c r="R9" s="202">
        <f t="shared" si="4"/>
        <v>28085.000000000004</v>
      </c>
      <c r="S9" s="40" t="e">
        <f>S10+S25+S20+S21</f>
        <v>#VALUE!</v>
      </c>
      <c r="T9" s="40">
        <f>T10+T25+T20+T21</f>
        <v>55327.627704709012</v>
      </c>
      <c r="U9" s="202">
        <f t="shared" ref="U9:V9" si="5">U10+U25+U20+U21</f>
        <v>16396.13</v>
      </c>
      <c r="V9" s="202">
        <f t="shared" si="5"/>
        <v>19227.2</v>
      </c>
      <c r="W9" s="40">
        <f>W10+W25+W20+W21</f>
        <v>24481.749800000001</v>
      </c>
      <c r="X9" s="40">
        <f>X10+X25+X20+X21</f>
        <v>36324.762922431597</v>
      </c>
      <c r="Y9" s="202">
        <f t="shared" ref="Y9:Z9" si="6">Y10+Y25+Y20+Y21</f>
        <v>7402.0700000000006</v>
      </c>
      <c r="Z9" s="202">
        <f t="shared" si="6"/>
        <v>8857.8000000000011</v>
      </c>
      <c r="AA9" s="40" t="e">
        <f>AA10+AA25+AA20+AA21</f>
        <v>#VALUE!</v>
      </c>
      <c r="AB9" s="40">
        <f>AB10+AB25+AB20+AB21</f>
        <v>19002.8647822774</v>
      </c>
    </row>
    <row r="10" spans="1:28">
      <c r="A10" s="90" t="s">
        <v>28</v>
      </c>
      <c r="B10" s="90" t="s">
        <v>28</v>
      </c>
      <c r="C10" s="91" t="s">
        <v>59</v>
      </c>
      <c r="D10" s="88" t="s">
        <v>58</v>
      </c>
      <c r="E10" s="202">
        <f>I10+M10+Q10</f>
        <v>93359.72</v>
      </c>
      <c r="F10" s="202">
        <f t="shared" si="0"/>
        <v>157545.23000000001</v>
      </c>
      <c r="G10" s="40">
        <f t="shared" si="1"/>
        <v>298881.51</v>
      </c>
      <c r="H10" s="40">
        <f t="shared" si="1"/>
        <v>313102.544466199</v>
      </c>
      <c r="I10" s="202">
        <f t="shared" ref="I10:J10" si="7">I11+I12+I18+I19</f>
        <v>70859.240000000005</v>
      </c>
      <c r="J10" s="202">
        <f t="shared" si="7"/>
        <v>130816.94</v>
      </c>
      <c r="K10" s="40">
        <f>K11+K12+K18+K19</f>
        <v>258704.34</v>
      </c>
      <c r="L10" s="40">
        <f>L11+L12+L18+L19</f>
        <v>259742.51506916998</v>
      </c>
      <c r="M10" s="202">
        <f t="shared" ref="M10:N10" si="8">M11+M12+M18+M19</f>
        <v>52.540000000000006</v>
      </c>
      <c r="N10" s="202">
        <f t="shared" si="8"/>
        <v>45.15</v>
      </c>
      <c r="O10" s="40">
        <f>O11+O12+O18+O19</f>
        <v>546.15</v>
      </c>
      <c r="P10" s="40">
        <f>P11+P12+P18+P19</f>
        <v>547.32174580000003</v>
      </c>
      <c r="Q10" s="202">
        <f>Q11+Q12+Q18+Q19+Q13</f>
        <v>22447.94</v>
      </c>
      <c r="R10" s="202">
        <f>R11+R12+R18+R19+R13</f>
        <v>26683.140000000003</v>
      </c>
      <c r="S10" s="40">
        <f>S11+S12+S18+S19</f>
        <v>39631.019999999997</v>
      </c>
      <c r="T10" s="40">
        <f>T11+T12+T18+T19</f>
        <v>52812.707651229008</v>
      </c>
      <c r="U10" s="202">
        <f>U11+U12+U18+U19+U13</f>
        <v>15465.98</v>
      </c>
      <c r="V10" s="202">
        <f>V11+V12+V18+V19+V13</f>
        <v>18267.300000000003</v>
      </c>
      <c r="W10" s="40">
        <f>W11+W12+W18+W19</f>
        <v>23162.84</v>
      </c>
      <c r="X10" s="40">
        <f>X11+X12+X18+X19</f>
        <v>34673.657445119999</v>
      </c>
      <c r="Y10" s="202">
        <f>Y11+Y12+Y18+Y19+Y13</f>
        <v>6981.96</v>
      </c>
      <c r="Z10" s="202">
        <f t="shared" ref="Z10" si="9">Z11+Z12+Z18+Z19</f>
        <v>8415.84</v>
      </c>
      <c r="AA10" s="40">
        <f>AA11+AA12+AA18+AA19</f>
        <v>16468.18</v>
      </c>
      <c r="AB10" s="40">
        <f>AB11+AB12+AB18+AB19</f>
        <v>18139.050206109001</v>
      </c>
    </row>
    <row r="11" spans="1:28">
      <c r="A11" s="90" t="s">
        <v>60</v>
      </c>
      <c r="B11" s="90" t="s">
        <v>60</v>
      </c>
      <c r="C11" s="91" t="s">
        <v>61</v>
      </c>
      <c r="D11" s="88" t="s">
        <v>58</v>
      </c>
      <c r="E11" s="202">
        <f t="shared" ref="E11:F34" si="10">I11+M11+Q11</f>
        <v>79616.5</v>
      </c>
      <c r="F11" s="202">
        <f>J11+N11+R11</f>
        <v>144547.53</v>
      </c>
      <c r="G11" s="158">
        <f t="shared" si="1"/>
        <v>284384.18</v>
      </c>
      <c r="H11" s="158">
        <f t="shared" si="1"/>
        <v>297520.34168758499</v>
      </c>
      <c r="I11" s="203">
        <v>60724.37</v>
      </c>
      <c r="J11" s="203">
        <v>120518.52</v>
      </c>
      <c r="K11" s="40">
        <v>246068.03</v>
      </c>
      <c r="L11" s="40">
        <f>K11</f>
        <v>246068.03</v>
      </c>
      <c r="M11" s="203">
        <v>48.17</v>
      </c>
      <c r="N11" s="203">
        <v>40.56</v>
      </c>
      <c r="O11" s="40">
        <v>499.33</v>
      </c>
      <c r="P11" s="40">
        <f>O11</f>
        <v>499.33</v>
      </c>
      <c r="Q11" s="202">
        <f>U11+Y11</f>
        <v>18843.96</v>
      </c>
      <c r="R11" s="202">
        <f>V11+Z11</f>
        <v>23988.45</v>
      </c>
      <c r="S11" s="40">
        <f>W11+AA11</f>
        <v>37816.82</v>
      </c>
      <c r="T11" s="40">
        <f>X11+AB11</f>
        <v>50952.981687585001</v>
      </c>
      <c r="U11" s="203">
        <v>12290.68</v>
      </c>
      <c r="V11" s="203">
        <v>15936</v>
      </c>
      <c r="W11" s="40">
        <v>21971.75</v>
      </c>
      <c r="X11" s="40">
        <f>W11*1.52253</f>
        <v>33452.648527500001</v>
      </c>
      <c r="Y11" s="203">
        <v>6553.28</v>
      </c>
      <c r="Z11" s="203">
        <v>8052.45</v>
      </c>
      <c r="AA11" s="40">
        <v>15845.07</v>
      </c>
      <c r="AB11" s="40">
        <f>15845.07*1.1044655</f>
        <v>17500.333160085</v>
      </c>
    </row>
    <row r="12" spans="1:28">
      <c r="A12" s="90" t="s">
        <v>202</v>
      </c>
      <c r="B12" s="90" t="s">
        <v>62</v>
      </c>
      <c r="C12" s="91" t="s">
        <v>63</v>
      </c>
      <c r="D12" s="88" t="s">
        <v>58</v>
      </c>
      <c r="E12" s="202">
        <f t="shared" si="10"/>
        <v>10640.18</v>
      </c>
      <c r="F12" s="206">
        <f t="shared" si="10"/>
        <v>11002.91</v>
      </c>
      <c r="G12" s="158">
        <f t="shared" ref="G12:H49" si="11">K12+O12+S12</f>
        <v>14340.04</v>
      </c>
      <c r="H12" s="158">
        <f t="shared" si="11"/>
        <v>15335.975345614002</v>
      </c>
      <c r="I12" s="202">
        <v>9720.7099999999991</v>
      </c>
      <c r="J12" s="202">
        <v>9869.35</v>
      </c>
      <c r="K12" s="40">
        <v>12498.28</v>
      </c>
      <c r="L12" s="40">
        <f>K12*0.9789275*1.1</f>
        <v>13458.400994170001</v>
      </c>
      <c r="M12" s="202">
        <v>4.2</v>
      </c>
      <c r="N12" s="202">
        <v>4.41</v>
      </c>
      <c r="O12" s="40">
        <v>46.34</v>
      </c>
      <c r="P12" s="40">
        <f>O12*0.9267*1.1</f>
        <v>47.237605800000004</v>
      </c>
      <c r="Q12" s="202">
        <f t="shared" ref="Q12:R34" si="12">U12+Y12</f>
        <v>915.27</v>
      </c>
      <c r="R12" s="202">
        <f t="shared" si="12"/>
        <v>1129.1500000000001</v>
      </c>
      <c r="S12" s="40">
        <f t="shared" ref="S12:T20" si="13">W12+AA12</f>
        <v>1795.42</v>
      </c>
      <c r="T12" s="40">
        <f t="shared" si="13"/>
        <v>1830.3367456440001</v>
      </c>
      <c r="U12" s="202">
        <v>630.41</v>
      </c>
      <c r="V12" s="202">
        <v>781.18</v>
      </c>
      <c r="W12" s="40">
        <v>1178.76</v>
      </c>
      <c r="X12" s="40">
        <f>W12*0.926795*1.1</f>
        <v>1201.7157616200002</v>
      </c>
      <c r="Y12" s="202">
        <v>284.86</v>
      </c>
      <c r="Z12" s="202">
        <v>347.97</v>
      </c>
      <c r="AA12" s="40">
        <v>616.66</v>
      </c>
      <c r="AB12" s="40">
        <f>616.66*0.926724*1.1</f>
        <v>628.62098402399999</v>
      </c>
    </row>
    <row r="13" spans="1:28">
      <c r="A13" s="90"/>
      <c r="B13" s="90" t="s">
        <v>64</v>
      </c>
      <c r="C13" s="91" t="s">
        <v>370</v>
      </c>
      <c r="D13" s="143" t="s">
        <v>58</v>
      </c>
      <c r="E13" s="202">
        <f t="shared" si="10"/>
        <v>2650.09</v>
      </c>
      <c r="F13" s="202">
        <f t="shared" si="10"/>
        <v>1516.16</v>
      </c>
      <c r="G13" s="158">
        <f t="shared" si="11"/>
        <v>0</v>
      </c>
      <c r="H13" s="158">
        <f t="shared" si="11"/>
        <v>0</v>
      </c>
      <c r="I13" s="203">
        <v>0</v>
      </c>
      <c r="J13" s="203">
        <v>0</v>
      </c>
      <c r="K13" s="40">
        <v>0</v>
      </c>
      <c r="L13" s="40">
        <v>0</v>
      </c>
      <c r="M13" s="203">
        <v>0</v>
      </c>
      <c r="N13" s="203">
        <v>0</v>
      </c>
      <c r="O13" s="40">
        <v>0</v>
      </c>
      <c r="P13" s="40">
        <v>0</v>
      </c>
      <c r="Q13" s="202">
        <f t="shared" si="12"/>
        <v>2650.09</v>
      </c>
      <c r="R13" s="202">
        <f t="shared" si="12"/>
        <v>1516.16</v>
      </c>
      <c r="S13" s="40">
        <f t="shared" si="13"/>
        <v>0</v>
      </c>
      <c r="T13" s="40">
        <f t="shared" si="13"/>
        <v>0</v>
      </c>
      <c r="U13" s="203">
        <v>2518.29</v>
      </c>
      <c r="V13" s="203">
        <v>1516.16</v>
      </c>
      <c r="W13" s="40">
        <v>0</v>
      </c>
      <c r="X13" s="40">
        <v>0</v>
      </c>
      <c r="Y13" s="203">
        <v>131.80000000000001</v>
      </c>
      <c r="Z13" s="203">
        <v>0</v>
      </c>
      <c r="AA13" s="40">
        <v>0</v>
      </c>
      <c r="AB13" s="40">
        <v>0</v>
      </c>
    </row>
    <row r="14" spans="1:28" ht="22.5">
      <c r="A14" s="90" t="s">
        <v>64</v>
      </c>
      <c r="B14" s="90" t="s">
        <v>65</v>
      </c>
      <c r="C14" s="91" t="s">
        <v>376</v>
      </c>
      <c r="D14" s="88" t="s">
        <v>58</v>
      </c>
      <c r="E14" s="202">
        <f t="shared" si="10"/>
        <v>0</v>
      </c>
      <c r="F14" s="202">
        <f t="shared" si="10"/>
        <v>0</v>
      </c>
      <c r="G14" s="158">
        <f t="shared" si="11"/>
        <v>0</v>
      </c>
      <c r="H14" s="158">
        <f t="shared" si="11"/>
        <v>0</v>
      </c>
      <c r="I14" s="203">
        <v>0</v>
      </c>
      <c r="J14" s="203">
        <v>0</v>
      </c>
      <c r="K14" s="40">
        <v>0</v>
      </c>
      <c r="L14" s="40">
        <v>0</v>
      </c>
      <c r="M14" s="203">
        <v>0</v>
      </c>
      <c r="N14" s="203">
        <v>0</v>
      </c>
      <c r="O14" s="40">
        <v>0</v>
      </c>
      <c r="P14" s="40">
        <v>0</v>
      </c>
      <c r="Q14" s="202">
        <f t="shared" si="12"/>
        <v>0</v>
      </c>
      <c r="R14" s="202">
        <f t="shared" si="12"/>
        <v>0</v>
      </c>
      <c r="S14" s="40">
        <f t="shared" si="13"/>
        <v>0</v>
      </c>
      <c r="T14" s="40">
        <f t="shared" si="13"/>
        <v>0</v>
      </c>
      <c r="U14" s="203">
        <v>0</v>
      </c>
      <c r="V14" s="203">
        <v>0</v>
      </c>
      <c r="W14" s="40">
        <v>0</v>
      </c>
      <c r="X14" s="40">
        <v>0</v>
      </c>
      <c r="Y14" s="203">
        <v>0</v>
      </c>
      <c r="Z14" s="203">
        <v>0</v>
      </c>
      <c r="AA14" s="40">
        <v>0</v>
      </c>
      <c r="AB14" s="40">
        <v>0</v>
      </c>
    </row>
    <row r="15" spans="1:28" ht="17.25" customHeight="1">
      <c r="A15" s="90"/>
      <c r="B15" s="90" t="s">
        <v>371</v>
      </c>
      <c r="C15" s="91" t="s">
        <v>61</v>
      </c>
      <c r="D15" s="143" t="s">
        <v>58</v>
      </c>
      <c r="E15" s="202">
        <f t="shared" si="10"/>
        <v>0</v>
      </c>
      <c r="F15" s="202">
        <f t="shared" si="10"/>
        <v>0</v>
      </c>
      <c r="G15" s="158">
        <f t="shared" si="11"/>
        <v>0</v>
      </c>
      <c r="H15" s="158">
        <f t="shared" si="11"/>
        <v>0</v>
      </c>
      <c r="I15" s="203">
        <v>0</v>
      </c>
      <c r="J15" s="203">
        <v>0</v>
      </c>
      <c r="K15" s="40">
        <v>0</v>
      </c>
      <c r="L15" s="40">
        <v>0</v>
      </c>
      <c r="M15" s="203">
        <v>0</v>
      </c>
      <c r="N15" s="203">
        <v>0</v>
      </c>
      <c r="O15" s="40">
        <v>0</v>
      </c>
      <c r="P15" s="40">
        <v>0</v>
      </c>
      <c r="Q15" s="202">
        <f t="shared" si="12"/>
        <v>0</v>
      </c>
      <c r="R15" s="202">
        <f t="shared" si="12"/>
        <v>0</v>
      </c>
      <c r="S15" s="40">
        <f t="shared" si="13"/>
        <v>0</v>
      </c>
      <c r="T15" s="40">
        <f t="shared" si="13"/>
        <v>0</v>
      </c>
      <c r="U15" s="203">
        <v>0</v>
      </c>
      <c r="V15" s="203">
        <v>0</v>
      </c>
      <c r="W15" s="40">
        <v>0</v>
      </c>
      <c r="X15" s="40">
        <v>0</v>
      </c>
      <c r="Y15" s="203">
        <v>0</v>
      </c>
      <c r="Z15" s="203">
        <v>0</v>
      </c>
      <c r="AA15" s="40">
        <v>0</v>
      </c>
      <c r="AB15" s="40">
        <v>0</v>
      </c>
    </row>
    <row r="16" spans="1:28" ht="14.25" customHeight="1">
      <c r="A16" s="90"/>
      <c r="B16" s="90" t="s">
        <v>372</v>
      </c>
      <c r="C16" s="91" t="s">
        <v>63</v>
      </c>
      <c r="D16" s="143" t="s">
        <v>58</v>
      </c>
      <c r="E16" s="202">
        <f t="shared" si="10"/>
        <v>0</v>
      </c>
      <c r="F16" s="202">
        <f t="shared" si="10"/>
        <v>0</v>
      </c>
      <c r="G16" s="158">
        <f t="shared" si="11"/>
        <v>0</v>
      </c>
      <c r="H16" s="158">
        <f t="shared" si="11"/>
        <v>0</v>
      </c>
      <c r="I16" s="203">
        <v>0</v>
      </c>
      <c r="J16" s="203">
        <v>0</v>
      </c>
      <c r="K16" s="40">
        <v>0</v>
      </c>
      <c r="L16" s="40">
        <v>0</v>
      </c>
      <c r="M16" s="203">
        <v>0</v>
      </c>
      <c r="N16" s="203">
        <v>0</v>
      </c>
      <c r="O16" s="40">
        <v>0</v>
      </c>
      <c r="P16" s="40">
        <v>0</v>
      </c>
      <c r="Q16" s="202">
        <f t="shared" si="12"/>
        <v>0</v>
      </c>
      <c r="R16" s="202">
        <f t="shared" si="12"/>
        <v>0</v>
      </c>
      <c r="S16" s="40">
        <f t="shared" si="13"/>
        <v>0</v>
      </c>
      <c r="T16" s="40">
        <f t="shared" si="13"/>
        <v>0</v>
      </c>
      <c r="U16" s="203">
        <v>0</v>
      </c>
      <c r="V16" s="203">
        <v>0</v>
      </c>
      <c r="W16" s="40">
        <v>0</v>
      </c>
      <c r="X16" s="40">
        <v>0</v>
      </c>
      <c r="Y16" s="203">
        <v>0</v>
      </c>
      <c r="Z16" s="203">
        <v>0</v>
      </c>
      <c r="AA16" s="40">
        <v>0</v>
      </c>
      <c r="AB16" s="40">
        <v>0</v>
      </c>
    </row>
    <row r="17" spans="1:28" ht="15.75" customHeight="1">
      <c r="A17" s="90"/>
      <c r="B17" s="90" t="s">
        <v>373</v>
      </c>
      <c r="C17" s="91" t="s">
        <v>374</v>
      </c>
      <c r="D17" s="143" t="s">
        <v>58</v>
      </c>
      <c r="E17" s="202">
        <f t="shared" si="10"/>
        <v>0</v>
      </c>
      <c r="F17" s="202">
        <f t="shared" si="10"/>
        <v>0</v>
      </c>
      <c r="G17" s="158">
        <f t="shared" si="11"/>
        <v>0</v>
      </c>
      <c r="H17" s="158">
        <f t="shared" si="11"/>
        <v>0</v>
      </c>
      <c r="I17" s="203">
        <v>0</v>
      </c>
      <c r="J17" s="203">
        <v>0</v>
      </c>
      <c r="K17" s="40">
        <v>0</v>
      </c>
      <c r="L17" s="40">
        <v>0</v>
      </c>
      <c r="M17" s="203">
        <v>0</v>
      </c>
      <c r="N17" s="203">
        <v>0</v>
      </c>
      <c r="O17" s="40">
        <v>0</v>
      </c>
      <c r="P17" s="40">
        <v>0</v>
      </c>
      <c r="Q17" s="202">
        <f t="shared" si="12"/>
        <v>0</v>
      </c>
      <c r="R17" s="202">
        <f t="shared" si="12"/>
        <v>0</v>
      </c>
      <c r="S17" s="40">
        <f t="shared" si="13"/>
        <v>0</v>
      </c>
      <c r="T17" s="40">
        <f t="shared" si="13"/>
        <v>0</v>
      </c>
      <c r="U17" s="203">
        <v>0</v>
      </c>
      <c r="V17" s="203">
        <v>0</v>
      </c>
      <c r="W17" s="40">
        <v>0</v>
      </c>
      <c r="X17" s="40">
        <v>0</v>
      </c>
      <c r="Y17" s="203">
        <v>0</v>
      </c>
      <c r="Z17" s="203">
        <v>0</v>
      </c>
      <c r="AA17" s="40">
        <v>0</v>
      </c>
      <c r="AB17" s="40">
        <v>0</v>
      </c>
    </row>
    <row r="18" spans="1:28">
      <c r="A18" s="90" t="s">
        <v>203</v>
      </c>
      <c r="B18" s="90" t="s">
        <v>67</v>
      </c>
      <c r="C18" s="91" t="s">
        <v>66</v>
      </c>
      <c r="D18" s="88" t="s">
        <v>58</v>
      </c>
      <c r="E18" s="202">
        <f t="shared" si="10"/>
        <v>113.15</v>
      </c>
      <c r="F18" s="202">
        <f t="shared" si="10"/>
        <v>103.59</v>
      </c>
      <c r="G18" s="158">
        <f t="shared" si="11"/>
        <v>64.81</v>
      </c>
      <c r="H18" s="158">
        <f t="shared" si="11"/>
        <v>153.747433</v>
      </c>
      <c r="I18" s="202">
        <v>103.72</v>
      </c>
      <c r="J18" s="202">
        <v>92.89</v>
      </c>
      <c r="K18" s="40">
        <v>56.87</v>
      </c>
      <c r="L18" s="40">
        <f>K18*2.3725</f>
        <v>134.92407499999999</v>
      </c>
      <c r="M18" s="202">
        <v>0.04</v>
      </c>
      <c r="N18" s="202">
        <v>0.04</v>
      </c>
      <c r="O18" s="40">
        <v>0.2</v>
      </c>
      <c r="P18" s="40">
        <f>O18*2.3707</f>
        <v>0.47414000000000001</v>
      </c>
      <c r="Q18" s="202">
        <f t="shared" si="12"/>
        <v>9.39</v>
      </c>
      <c r="R18" s="202">
        <f t="shared" si="12"/>
        <v>10.66</v>
      </c>
      <c r="S18" s="40">
        <f t="shared" si="13"/>
        <v>7.74</v>
      </c>
      <c r="T18" s="40">
        <f t="shared" si="13"/>
        <v>18.349218</v>
      </c>
      <c r="U18" s="202">
        <v>6.47</v>
      </c>
      <c r="V18" s="202">
        <v>7.33</v>
      </c>
      <c r="W18" s="40">
        <v>5.08</v>
      </c>
      <c r="X18" s="40">
        <f>W18*2.3707</f>
        <v>12.043156</v>
      </c>
      <c r="Y18" s="202">
        <v>2.92</v>
      </c>
      <c r="Z18" s="202">
        <v>3.33</v>
      </c>
      <c r="AA18" s="40">
        <v>2.66</v>
      </c>
      <c r="AB18" s="40">
        <f>2.66*2.3707</f>
        <v>6.3060619999999998</v>
      </c>
    </row>
    <row r="19" spans="1:28" ht="22.5">
      <c r="A19" s="90" t="s">
        <v>204</v>
      </c>
      <c r="B19" s="90" t="s">
        <v>377</v>
      </c>
      <c r="C19" s="91" t="s">
        <v>68</v>
      </c>
      <c r="D19" s="88" t="s">
        <v>58</v>
      </c>
      <c r="E19" s="202">
        <f t="shared" si="10"/>
        <v>339.8</v>
      </c>
      <c r="F19" s="202">
        <f t="shared" si="10"/>
        <v>375.03999999999996</v>
      </c>
      <c r="G19" s="158">
        <f t="shared" si="11"/>
        <v>92.47999999999999</v>
      </c>
      <c r="H19" s="158">
        <f t="shared" si="11"/>
        <v>92.47999999999999</v>
      </c>
      <c r="I19" s="202">
        <v>310.44</v>
      </c>
      <c r="J19" s="202">
        <v>336.18</v>
      </c>
      <c r="K19" s="40">
        <v>81.16</v>
      </c>
      <c r="L19" s="40">
        <f>K19</f>
        <v>81.16</v>
      </c>
      <c r="M19" s="202">
        <v>0.13</v>
      </c>
      <c r="N19" s="202">
        <v>0.14000000000000001</v>
      </c>
      <c r="O19" s="40">
        <v>0.28000000000000003</v>
      </c>
      <c r="P19" s="40">
        <f>O19</f>
        <v>0.28000000000000003</v>
      </c>
      <c r="Q19" s="202">
        <f t="shared" si="12"/>
        <v>29.229999999999997</v>
      </c>
      <c r="R19" s="202">
        <f t="shared" si="12"/>
        <v>38.72</v>
      </c>
      <c r="S19" s="40">
        <f t="shared" si="13"/>
        <v>11.04</v>
      </c>
      <c r="T19" s="40">
        <f t="shared" si="13"/>
        <v>11.04</v>
      </c>
      <c r="U19" s="202">
        <v>20.13</v>
      </c>
      <c r="V19" s="202">
        <v>26.63</v>
      </c>
      <c r="W19" s="40">
        <v>7.25</v>
      </c>
      <c r="X19" s="40">
        <f>W19</f>
        <v>7.25</v>
      </c>
      <c r="Y19" s="202">
        <v>9.1</v>
      </c>
      <c r="Z19" s="202">
        <v>12.09</v>
      </c>
      <c r="AA19" s="40">
        <v>3.79</v>
      </c>
      <c r="AB19" s="40">
        <v>3.79</v>
      </c>
    </row>
    <row r="20" spans="1:28">
      <c r="A20" s="90" t="s">
        <v>30</v>
      </c>
      <c r="B20" s="90" t="s">
        <v>30</v>
      </c>
      <c r="C20" s="91" t="s">
        <v>69</v>
      </c>
      <c r="D20" s="88" t="s">
        <v>58</v>
      </c>
      <c r="E20" s="202">
        <f t="shared" si="10"/>
        <v>9191.9599999999991</v>
      </c>
      <c r="F20" s="202">
        <f t="shared" si="10"/>
        <v>8810.42</v>
      </c>
      <c r="G20" s="158" t="e">
        <f t="shared" si="11"/>
        <v>#VALUE!</v>
      </c>
      <c r="H20" s="158">
        <f t="shared" si="11"/>
        <v>15346.997238320004</v>
      </c>
      <c r="I20" s="202">
        <v>8397.64</v>
      </c>
      <c r="J20" s="202">
        <v>7899.99</v>
      </c>
      <c r="K20" s="40">
        <v>10442.200000000001</v>
      </c>
      <c r="L20" s="40">
        <f>K20*1.172511*1.1</f>
        <v>13467.953800620004</v>
      </c>
      <c r="M20" s="202">
        <v>3.63</v>
      </c>
      <c r="N20" s="202">
        <v>3.37</v>
      </c>
      <c r="O20" s="40">
        <v>36.659999999999997</v>
      </c>
      <c r="P20" s="40">
        <f>O20*1.1727*1.1</f>
        <v>47.290300200000004</v>
      </c>
      <c r="Q20" s="202">
        <f t="shared" si="12"/>
        <v>790.69</v>
      </c>
      <c r="R20" s="202">
        <f t="shared" si="12"/>
        <v>907.06</v>
      </c>
      <c r="S20" s="40" t="e">
        <f t="shared" si="13"/>
        <v>#VALUE!</v>
      </c>
      <c r="T20" s="40">
        <f t="shared" si="13"/>
        <v>1831.7531375000003</v>
      </c>
      <c r="U20" s="202">
        <v>544.6</v>
      </c>
      <c r="V20" s="202">
        <v>623.79999999999995</v>
      </c>
      <c r="W20" s="40">
        <v>932.4</v>
      </c>
      <c r="X20" s="40">
        <f>W20*1.172527*1.1</f>
        <v>1202.5905922800002</v>
      </c>
      <c r="Y20" s="202">
        <v>246.09</v>
      </c>
      <c r="Z20" s="202">
        <v>283.26</v>
      </c>
      <c r="AA20" s="40" t="s">
        <v>494</v>
      </c>
      <c r="AB20" s="40">
        <f>487.78*1.17259*1.1</f>
        <v>629.16254521999997</v>
      </c>
    </row>
    <row r="21" spans="1:28">
      <c r="A21" s="90" t="s">
        <v>70</v>
      </c>
      <c r="B21" s="90" t="s">
        <v>70</v>
      </c>
      <c r="C21" s="91" t="s">
        <v>71</v>
      </c>
      <c r="D21" s="88" t="s">
        <v>58</v>
      </c>
      <c r="E21" s="202">
        <f t="shared" si="10"/>
        <v>6145.62</v>
      </c>
      <c r="F21" s="202">
        <f t="shared" si="10"/>
        <v>4436.63</v>
      </c>
      <c r="G21" s="158" t="e">
        <f t="shared" si="11"/>
        <v>#VALUE!</v>
      </c>
      <c r="H21" s="158">
        <f t="shared" si="11"/>
        <v>5459.6093924304005</v>
      </c>
      <c r="I21" s="202">
        <f t="shared" ref="I21:J21" si="14">I22+I23+I24</f>
        <v>5613.25</v>
      </c>
      <c r="J21" s="202">
        <f t="shared" si="14"/>
        <v>3973.58</v>
      </c>
      <c r="K21" s="40">
        <f>K22+K23+K24</f>
        <v>4125.5039999999999</v>
      </c>
      <c r="L21" s="40">
        <f>L22+L23+L24</f>
        <v>4791.1698361364006</v>
      </c>
      <c r="M21" s="202">
        <f t="shared" ref="M21:N21" si="15">M22+M23+M24</f>
        <v>2.84</v>
      </c>
      <c r="N21" s="202">
        <f t="shared" si="15"/>
        <v>1.7799999999999998</v>
      </c>
      <c r="O21" s="40">
        <f>O22+O23+O24</f>
        <v>14.475199999999999</v>
      </c>
      <c r="P21" s="40">
        <f>P22+P23+P24</f>
        <v>16.813866044000001</v>
      </c>
      <c r="Q21" s="202">
        <f t="shared" si="12"/>
        <v>529.53</v>
      </c>
      <c r="R21" s="202">
        <f t="shared" si="12"/>
        <v>461.27</v>
      </c>
      <c r="S21" s="40" t="e">
        <f>S22+S23+S24</f>
        <v>#VALUE!</v>
      </c>
      <c r="T21" s="40">
        <f>T22+T23+T24</f>
        <v>651.62569025000005</v>
      </c>
      <c r="U21" s="202">
        <f t="shared" ref="U21:V21" si="16">U22+U23+U24</f>
        <v>364.86</v>
      </c>
      <c r="V21" s="202">
        <f t="shared" si="16"/>
        <v>313.67</v>
      </c>
      <c r="W21" s="40">
        <f>W22+W23+W24</f>
        <v>368.36799999999999</v>
      </c>
      <c r="X21" s="40">
        <f>X22+X23+X24</f>
        <v>427.80993030160005</v>
      </c>
      <c r="Y21" s="202">
        <f t="shared" ref="Y21:Z21" si="17">Y22+Y23+Y24</f>
        <v>164.67000000000002</v>
      </c>
      <c r="Z21" s="202">
        <f t="shared" si="17"/>
        <v>147.6</v>
      </c>
      <c r="AA21" s="40" t="e">
        <f>AA22+AA23+AA24</f>
        <v>#VALUE!</v>
      </c>
      <c r="AB21" s="40">
        <f>AB22+AB23+AB24</f>
        <v>223.8157599484</v>
      </c>
    </row>
    <row r="22" spans="1:28">
      <c r="A22" s="90" t="s">
        <v>72</v>
      </c>
      <c r="B22" s="90" t="s">
        <v>72</v>
      </c>
      <c r="C22" s="91" t="s">
        <v>73</v>
      </c>
      <c r="D22" s="88" t="s">
        <v>58</v>
      </c>
      <c r="E22" s="202">
        <f t="shared" si="10"/>
        <v>3314.46</v>
      </c>
      <c r="F22" s="202">
        <f t="shared" si="10"/>
        <v>2012.3600000000001</v>
      </c>
      <c r="G22" s="158" t="e">
        <f t="shared" si="11"/>
        <v>#VALUE!</v>
      </c>
      <c r="H22" s="158">
        <f t="shared" si="11"/>
        <v>3376.3393924304009</v>
      </c>
      <c r="I22" s="202">
        <v>3028.05</v>
      </c>
      <c r="J22" s="202">
        <v>1804.41</v>
      </c>
      <c r="K22" s="40">
        <f>K20*0.22</f>
        <v>2297.2840000000001</v>
      </c>
      <c r="L22" s="40">
        <f>L20*0.22</f>
        <v>2962.9498361364008</v>
      </c>
      <c r="M22" s="202">
        <v>1.31</v>
      </c>
      <c r="N22" s="202">
        <v>0.77</v>
      </c>
      <c r="O22" s="40">
        <f>O20*0.22</f>
        <v>8.065199999999999</v>
      </c>
      <c r="P22" s="40">
        <f>P20*0.22</f>
        <v>10.403866044000001</v>
      </c>
      <c r="Q22" s="202">
        <f t="shared" si="12"/>
        <v>285.10000000000002</v>
      </c>
      <c r="R22" s="202">
        <f t="shared" si="12"/>
        <v>207.18</v>
      </c>
      <c r="S22" s="40" t="e">
        <f>S20*0.22</f>
        <v>#VALUE!</v>
      </c>
      <c r="T22" s="40">
        <f>T20*0.22</f>
        <v>402.98569025000006</v>
      </c>
      <c r="U22" s="202">
        <v>196.37</v>
      </c>
      <c r="V22" s="202">
        <v>142.47999999999999</v>
      </c>
      <c r="W22" s="40">
        <f>W20*0.22</f>
        <v>205.12799999999999</v>
      </c>
      <c r="X22" s="40">
        <f>X20*0.22</f>
        <v>264.56993030160004</v>
      </c>
      <c r="Y22" s="202">
        <v>88.73</v>
      </c>
      <c r="Z22" s="202">
        <v>64.7</v>
      </c>
      <c r="AA22" s="40" t="e">
        <f>AA20*0.22</f>
        <v>#VALUE!</v>
      </c>
      <c r="AB22" s="40">
        <f>AB20*0.22</f>
        <v>138.41575994839999</v>
      </c>
    </row>
    <row r="23" spans="1:28">
      <c r="A23" s="90" t="s">
        <v>74</v>
      </c>
      <c r="B23" s="90" t="s">
        <v>74</v>
      </c>
      <c r="C23" s="91" t="s">
        <v>75</v>
      </c>
      <c r="D23" s="88" t="s">
        <v>58</v>
      </c>
      <c r="E23" s="202">
        <f t="shared" si="10"/>
        <v>1009.2</v>
      </c>
      <c r="F23" s="202">
        <f t="shared" si="10"/>
        <v>1073.75</v>
      </c>
      <c r="G23" s="158">
        <f t="shared" si="11"/>
        <v>864.3599999999999</v>
      </c>
      <c r="H23" s="158">
        <f t="shared" si="11"/>
        <v>864.3599999999999</v>
      </c>
      <c r="I23" s="202">
        <v>921.99</v>
      </c>
      <c r="J23" s="202">
        <v>962.8</v>
      </c>
      <c r="K23" s="40">
        <v>758.54</v>
      </c>
      <c r="L23" s="40">
        <f>K23</f>
        <v>758.54</v>
      </c>
      <c r="M23" s="202">
        <v>0.4</v>
      </c>
      <c r="N23" s="202">
        <v>0.41</v>
      </c>
      <c r="O23" s="40">
        <v>2.66</v>
      </c>
      <c r="P23" s="40">
        <f>O23</f>
        <v>2.66</v>
      </c>
      <c r="Q23" s="202">
        <f t="shared" si="12"/>
        <v>86.81</v>
      </c>
      <c r="R23" s="202">
        <f t="shared" si="12"/>
        <v>110.53999999999999</v>
      </c>
      <c r="S23" s="40">
        <f>W23+AA23</f>
        <v>103.16</v>
      </c>
      <c r="T23" s="40">
        <f>X23+AB23</f>
        <v>103.16</v>
      </c>
      <c r="U23" s="202">
        <v>59.79</v>
      </c>
      <c r="V23" s="202">
        <v>76.02</v>
      </c>
      <c r="W23" s="40">
        <v>67.73</v>
      </c>
      <c r="X23" s="40">
        <f>W23</f>
        <v>67.73</v>
      </c>
      <c r="Y23" s="202">
        <v>27.02</v>
      </c>
      <c r="Z23" s="202">
        <v>34.520000000000003</v>
      </c>
      <c r="AA23" s="40">
        <v>35.43</v>
      </c>
      <c r="AB23" s="40">
        <v>35.43</v>
      </c>
    </row>
    <row r="24" spans="1:28">
      <c r="A24" s="90" t="s">
        <v>206</v>
      </c>
      <c r="B24" s="90" t="s">
        <v>76</v>
      </c>
      <c r="C24" s="91" t="s">
        <v>77</v>
      </c>
      <c r="D24" s="88" t="s">
        <v>58</v>
      </c>
      <c r="E24" s="202">
        <f t="shared" si="10"/>
        <v>1821.96</v>
      </c>
      <c r="F24" s="206">
        <f t="shared" si="10"/>
        <v>1350.5199999999998</v>
      </c>
      <c r="G24" s="158">
        <f t="shared" si="11"/>
        <v>1218.9100000000001</v>
      </c>
      <c r="H24" s="158">
        <f t="shared" si="11"/>
        <v>1218.9100000000001</v>
      </c>
      <c r="I24" s="202">
        <v>1663.21</v>
      </c>
      <c r="J24" s="202">
        <v>1206.3699999999999</v>
      </c>
      <c r="K24" s="40">
        <v>1069.68</v>
      </c>
      <c r="L24" s="40">
        <f>K24</f>
        <v>1069.68</v>
      </c>
      <c r="M24" s="202">
        <v>1.1299999999999999</v>
      </c>
      <c r="N24" s="202">
        <v>0.6</v>
      </c>
      <c r="O24" s="40">
        <v>3.75</v>
      </c>
      <c r="P24" s="40">
        <f>O24</f>
        <v>3.75</v>
      </c>
      <c r="Q24" s="202">
        <f t="shared" si="12"/>
        <v>157.62</v>
      </c>
      <c r="R24" s="202">
        <f t="shared" si="12"/>
        <v>143.55000000000001</v>
      </c>
      <c r="S24" s="40">
        <f>W24+AA24</f>
        <v>145.48000000000002</v>
      </c>
      <c r="T24" s="40">
        <f>X24+AB24</f>
        <v>145.48000000000002</v>
      </c>
      <c r="U24" s="202">
        <v>108.7</v>
      </c>
      <c r="V24" s="202">
        <v>95.17</v>
      </c>
      <c r="W24" s="40">
        <v>95.51</v>
      </c>
      <c r="X24" s="40">
        <f>W24</f>
        <v>95.51</v>
      </c>
      <c r="Y24" s="202">
        <v>48.92</v>
      </c>
      <c r="Z24" s="206">
        <v>48.38</v>
      </c>
      <c r="AA24" s="40">
        <v>49.97</v>
      </c>
      <c r="AB24" s="40">
        <v>49.97</v>
      </c>
    </row>
    <row r="25" spans="1:28">
      <c r="A25" s="90" t="s">
        <v>78</v>
      </c>
      <c r="B25" s="90" t="s">
        <v>78</v>
      </c>
      <c r="C25" s="91" t="s">
        <v>79</v>
      </c>
      <c r="D25" s="88" t="s">
        <v>58</v>
      </c>
      <c r="E25" s="202">
        <f t="shared" si="10"/>
        <v>349.17</v>
      </c>
      <c r="F25" s="202">
        <f t="shared" si="10"/>
        <v>343.03999999999996</v>
      </c>
      <c r="G25" s="158">
        <f t="shared" si="11"/>
        <v>231.42439999999999</v>
      </c>
      <c r="H25" s="158">
        <f t="shared" si="11"/>
        <v>264.14696122999999</v>
      </c>
      <c r="I25" s="202">
        <f t="shared" ref="I25:J25" si="18">SUM(I26:I28)</f>
        <v>318.99</v>
      </c>
      <c r="J25" s="202">
        <f t="shared" si="18"/>
        <v>309.39</v>
      </c>
      <c r="K25" s="40">
        <f>SUM(K26:K28)</f>
        <v>203.07339999999999</v>
      </c>
      <c r="L25" s="40">
        <f>SUM(L26:L28)</f>
        <v>231.79351150000002</v>
      </c>
      <c r="M25" s="202">
        <f t="shared" ref="M25:N25" si="19">SUM(M26:M28)</f>
        <v>0.14000000000000001</v>
      </c>
      <c r="N25" s="202">
        <f t="shared" si="19"/>
        <v>0.12</v>
      </c>
      <c r="O25" s="40">
        <f>SUM(O26:O28)</f>
        <v>0.71560000000000001</v>
      </c>
      <c r="P25" s="40">
        <f>SUM(P26:P28)</f>
        <v>0.81222400000000006</v>
      </c>
      <c r="Q25" s="202">
        <f t="shared" ref="Q25:R25" si="20">SUM(Q26:Q28)</f>
        <v>30.04</v>
      </c>
      <c r="R25" s="202">
        <f t="shared" si="20"/>
        <v>33.53</v>
      </c>
      <c r="S25" s="40">
        <f>SUM(S26:S28)</f>
        <v>27.635400000000001</v>
      </c>
      <c r="T25" s="40">
        <f>SUM(T26:T28)</f>
        <v>31.541225729999997</v>
      </c>
      <c r="U25" s="202">
        <f t="shared" ref="U25:V25" si="21">SUM(U26:U28)</f>
        <v>20.69</v>
      </c>
      <c r="V25" s="202">
        <f t="shared" si="21"/>
        <v>22.43</v>
      </c>
      <c r="W25" s="40">
        <f>SUM(W26:W28)</f>
        <v>18.1418</v>
      </c>
      <c r="X25" s="40">
        <f>SUM(X26:X28)</f>
        <v>20.704954729999997</v>
      </c>
      <c r="Y25" s="202">
        <f t="shared" ref="Y25:Z25" si="22">SUM(Y26:Y28)</f>
        <v>9.3500000000000014</v>
      </c>
      <c r="Z25" s="202">
        <f t="shared" si="22"/>
        <v>11.1</v>
      </c>
      <c r="AA25" s="40">
        <f>SUM(AA26:AA28)</f>
        <v>9.4936000000000007</v>
      </c>
      <c r="AB25" s="40">
        <f>SUM(AB26:AB28)</f>
        <v>10.836271</v>
      </c>
    </row>
    <row r="26" spans="1:28">
      <c r="A26" s="90" t="s">
        <v>80</v>
      </c>
      <c r="B26" s="90" t="s">
        <v>80</v>
      </c>
      <c r="C26" s="91" t="s">
        <v>81</v>
      </c>
      <c r="D26" s="88" t="s">
        <v>58</v>
      </c>
      <c r="E26" s="202">
        <f t="shared" si="10"/>
        <v>179.96999999999997</v>
      </c>
      <c r="F26" s="202">
        <f t="shared" si="10"/>
        <v>194.08999999999997</v>
      </c>
      <c r="G26" s="158">
        <f t="shared" si="11"/>
        <v>155.51999999999998</v>
      </c>
      <c r="H26" s="158">
        <f t="shared" si="11"/>
        <v>182.34177149999999</v>
      </c>
      <c r="I26" s="202">
        <v>164.42</v>
      </c>
      <c r="J26" s="202">
        <v>174.04</v>
      </c>
      <c r="K26" s="40">
        <v>136.47</v>
      </c>
      <c r="L26" s="40">
        <f>K26*1.1725</f>
        <v>160.01107500000001</v>
      </c>
      <c r="M26" s="202">
        <v>7.0000000000000007E-2</v>
      </c>
      <c r="N26" s="202">
        <v>7.0000000000000007E-2</v>
      </c>
      <c r="O26" s="40">
        <v>0.48</v>
      </c>
      <c r="P26" s="40">
        <f>O26*1.165</f>
        <v>0.55920000000000003</v>
      </c>
      <c r="Q26" s="202">
        <f t="shared" si="12"/>
        <v>15.48</v>
      </c>
      <c r="R26" s="202">
        <f t="shared" si="12"/>
        <v>19.98</v>
      </c>
      <c r="S26" s="40">
        <f>W26+AA26</f>
        <v>18.57</v>
      </c>
      <c r="T26" s="40">
        <f>X26+AB26</f>
        <v>21.771496499999998</v>
      </c>
      <c r="U26" s="202">
        <v>10.66</v>
      </c>
      <c r="V26" s="202">
        <v>13.74</v>
      </c>
      <c r="W26" s="40">
        <v>12.19</v>
      </c>
      <c r="X26" s="40">
        <f>W26*1.17235</f>
        <v>14.290946499999999</v>
      </c>
      <c r="Y26" s="202">
        <v>4.82</v>
      </c>
      <c r="Z26" s="202">
        <v>6.24</v>
      </c>
      <c r="AA26" s="40">
        <v>6.38</v>
      </c>
      <c r="AB26" s="40">
        <f>6.38*1.1725</f>
        <v>7.4805500000000009</v>
      </c>
    </row>
    <row r="27" spans="1:28">
      <c r="A27" s="90" t="s">
        <v>82</v>
      </c>
      <c r="B27" s="90" t="s">
        <v>82</v>
      </c>
      <c r="C27" s="91" t="s">
        <v>83</v>
      </c>
      <c r="D27" s="88" t="s">
        <v>58</v>
      </c>
      <c r="E27" s="202">
        <f t="shared" si="10"/>
        <v>58.88</v>
      </c>
      <c r="F27" s="202">
        <f t="shared" si="10"/>
        <v>37.849999999999994</v>
      </c>
      <c r="G27" s="158">
        <f t="shared" si="11"/>
        <v>34.214399999999998</v>
      </c>
      <c r="H27" s="158">
        <f t="shared" si="11"/>
        <v>40.115189730000004</v>
      </c>
      <c r="I27" s="202">
        <v>53.79</v>
      </c>
      <c r="J27" s="202">
        <v>33.94</v>
      </c>
      <c r="K27" s="40">
        <f>K26*0.22</f>
        <v>30.023399999999999</v>
      </c>
      <c r="L27" s="40">
        <f>L26*0.22</f>
        <v>35.202436500000005</v>
      </c>
      <c r="M27" s="202">
        <v>0.02</v>
      </c>
      <c r="N27" s="202">
        <v>0.01</v>
      </c>
      <c r="O27" s="40">
        <f>O26*0.22</f>
        <v>0.1056</v>
      </c>
      <c r="P27" s="40">
        <f>P26*0.22</f>
        <v>0.12302400000000001</v>
      </c>
      <c r="Q27" s="202">
        <f t="shared" si="12"/>
        <v>5.07</v>
      </c>
      <c r="R27" s="202">
        <f t="shared" si="12"/>
        <v>3.9000000000000004</v>
      </c>
      <c r="S27" s="40">
        <f t="shared" ref="S27:T28" si="23">W27+AA27</f>
        <v>4.0853999999999999</v>
      </c>
      <c r="T27" s="40">
        <f t="shared" si="23"/>
        <v>4.7897292299999998</v>
      </c>
      <c r="U27" s="202">
        <v>3.49</v>
      </c>
      <c r="V27" s="202">
        <v>2.68</v>
      </c>
      <c r="W27" s="40">
        <f>W26*0.22</f>
        <v>2.6818</v>
      </c>
      <c r="X27" s="40">
        <f>X26*0.22</f>
        <v>3.1440082299999998</v>
      </c>
      <c r="Y27" s="202">
        <v>1.58</v>
      </c>
      <c r="Z27" s="202">
        <v>1.22</v>
      </c>
      <c r="AA27" s="40">
        <f>AA26*0.22</f>
        <v>1.4036</v>
      </c>
      <c r="AB27" s="40">
        <f>AB26*0.22</f>
        <v>1.6457210000000002</v>
      </c>
    </row>
    <row r="28" spans="1:28">
      <c r="A28" s="90" t="s">
        <v>84</v>
      </c>
      <c r="B28" s="90" t="s">
        <v>84</v>
      </c>
      <c r="C28" s="91" t="s">
        <v>85</v>
      </c>
      <c r="D28" s="88" t="s">
        <v>58</v>
      </c>
      <c r="E28" s="202">
        <f t="shared" si="10"/>
        <v>110.32</v>
      </c>
      <c r="F28" s="202">
        <f t="shared" si="10"/>
        <v>111.10000000000001</v>
      </c>
      <c r="G28" s="158">
        <f t="shared" si="11"/>
        <v>41.69</v>
      </c>
      <c r="H28" s="158">
        <f t="shared" si="11"/>
        <v>41.69</v>
      </c>
      <c r="I28" s="202">
        <v>100.78</v>
      </c>
      <c r="J28" s="202">
        <v>101.41</v>
      </c>
      <c r="K28" s="40">
        <v>36.58</v>
      </c>
      <c r="L28" s="40">
        <f>K28</f>
        <v>36.58</v>
      </c>
      <c r="M28" s="202">
        <v>0.05</v>
      </c>
      <c r="N28" s="202">
        <v>0.04</v>
      </c>
      <c r="O28" s="40">
        <v>0.13</v>
      </c>
      <c r="P28" s="40">
        <f>O28</f>
        <v>0.13</v>
      </c>
      <c r="Q28" s="202">
        <f t="shared" si="12"/>
        <v>9.49</v>
      </c>
      <c r="R28" s="202">
        <f t="shared" si="12"/>
        <v>9.65</v>
      </c>
      <c r="S28" s="40">
        <f t="shared" si="23"/>
        <v>4.9800000000000004</v>
      </c>
      <c r="T28" s="40">
        <f t="shared" si="23"/>
        <v>4.9800000000000004</v>
      </c>
      <c r="U28" s="202">
        <v>6.54</v>
      </c>
      <c r="V28" s="202">
        <v>6.01</v>
      </c>
      <c r="W28" s="40">
        <v>3.27</v>
      </c>
      <c r="X28" s="40">
        <f>W28</f>
        <v>3.27</v>
      </c>
      <c r="Y28" s="202">
        <v>2.95</v>
      </c>
      <c r="Z28" s="202">
        <v>3.64</v>
      </c>
      <c r="AA28" s="40">
        <v>1.71</v>
      </c>
      <c r="AB28" s="40">
        <v>1.71</v>
      </c>
    </row>
    <row r="29" spans="1:28">
      <c r="A29" s="90">
        <v>2</v>
      </c>
      <c r="B29" s="90">
        <v>2</v>
      </c>
      <c r="C29" s="91" t="s">
        <v>86</v>
      </c>
      <c r="D29" s="88" t="s">
        <v>58</v>
      </c>
      <c r="E29" s="202">
        <f t="shared" si="10"/>
        <v>1586.8100000000002</v>
      </c>
      <c r="F29" s="206">
        <f t="shared" si="10"/>
        <v>1390.89</v>
      </c>
      <c r="G29" s="158">
        <f t="shared" si="11"/>
        <v>1997.3980000000001</v>
      </c>
      <c r="H29" s="158">
        <f t="shared" si="11"/>
        <v>2304.2350480619998</v>
      </c>
      <c r="I29" s="202">
        <f t="shared" ref="I29:J29" si="24">SUM(I30:I32)</f>
        <v>1449.68</v>
      </c>
      <c r="J29" s="202">
        <f t="shared" si="24"/>
        <v>1247.17</v>
      </c>
      <c r="K29" s="40">
        <f>SUM(K30:K32)</f>
        <v>1752.8602000000001</v>
      </c>
      <c r="L29" s="40">
        <f>SUM(L30:L32)</f>
        <v>2022.127643302</v>
      </c>
      <c r="M29" s="202">
        <f t="shared" ref="M29:N29" si="25">SUM(M30:M32)</f>
        <v>0.63</v>
      </c>
      <c r="N29" s="202">
        <f t="shared" si="25"/>
        <v>0.53</v>
      </c>
      <c r="O29" s="40">
        <f>SUM(O30:O32)</f>
        <v>6.1478000000000002</v>
      </c>
      <c r="P29" s="40">
        <f>SUM(P30:P32)</f>
        <v>7.0954594000000002</v>
      </c>
      <c r="Q29" s="202">
        <f t="shared" ref="Q29:R29" si="26">SUM(Q30:Q32)</f>
        <v>136.5</v>
      </c>
      <c r="R29" s="202">
        <f t="shared" si="26"/>
        <v>143.19</v>
      </c>
      <c r="S29" s="40">
        <f>SUM(S30:S32)</f>
        <v>238.39</v>
      </c>
      <c r="T29" s="40">
        <f>SUM(T30:T32)</f>
        <v>275.01194536000003</v>
      </c>
      <c r="U29" s="202">
        <f t="shared" ref="U29:V29" si="27">SUM(U30:U32)</f>
        <v>94.010000000000019</v>
      </c>
      <c r="V29" s="202">
        <f t="shared" si="27"/>
        <v>98.47</v>
      </c>
      <c r="W29" s="40">
        <f>SUM(W30:W32)</f>
        <v>156.51279999999997</v>
      </c>
      <c r="X29" s="40">
        <f>SUM(X30:X32)</f>
        <v>180.55460800000003</v>
      </c>
      <c r="Y29" s="202">
        <f t="shared" ref="Y29:Z29" si="28">SUM(Y30:Y32)</f>
        <v>42.49</v>
      </c>
      <c r="Z29" s="202">
        <f t="shared" si="28"/>
        <v>44.72</v>
      </c>
      <c r="AA29" s="40">
        <f>SUM(AA30:AA32)</f>
        <v>81.877200000000002</v>
      </c>
      <c r="AB29" s="40">
        <f>SUM(AB30:AB32)</f>
        <v>94.457337359999983</v>
      </c>
    </row>
    <row r="30" spans="1:28">
      <c r="A30" s="90" t="s">
        <v>33</v>
      </c>
      <c r="B30" s="90" t="s">
        <v>33</v>
      </c>
      <c r="C30" s="91" t="s">
        <v>81</v>
      </c>
      <c r="D30" s="88" t="s">
        <v>58</v>
      </c>
      <c r="E30" s="202">
        <f t="shared" si="10"/>
        <v>1023.3</v>
      </c>
      <c r="F30" s="202">
        <f t="shared" si="10"/>
        <v>965.25</v>
      </c>
      <c r="G30" s="158">
        <f t="shared" si="11"/>
        <v>1457.9</v>
      </c>
      <c r="H30" s="158">
        <f t="shared" si="11"/>
        <v>1709.4057771</v>
      </c>
      <c r="I30" s="202">
        <v>934.87</v>
      </c>
      <c r="J30" s="202">
        <v>865.51</v>
      </c>
      <c r="K30" s="40">
        <v>1279.4100000000001</v>
      </c>
      <c r="L30" s="40">
        <f>K30*1.17251</f>
        <v>1500.1210191</v>
      </c>
      <c r="M30" s="202">
        <v>0.4</v>
      </c>
      <c r="N30" s="202">
        <v>0.37</v>
      </c>
      <c r="O30" s="40">
        <v>4.49</v>
      </c>
      <c r="P30" s="40">
        <f>O30*1.173</f>
        <v>5.2667700000000002</v>
      </c>
      <c r="Q30" s="202">
        <f t="shared" si="12"/>
        <v>88.03</v>
      </c>
      <c r="R30" s="202">
        <f t="shared" si="12"/>
        <v>99.37</v>
      </c>
      <c r="S30" s="40">
        <f>W30+AA30</f>
        <v>174</v>
      </c>
      <c r="T30" s="40">
        <f>X30+AB30</f>
        <v>204.017988</v>
      </c>
      <c r="U30" s="202">
        <v>60.63</v>
      </c>
      <c r="V30" s="202">
        <v>68.34</v>
      </c>
      <c r="W30" s="40">
        <v>114.24</v>
      </c>
      <c r="X30" s="40">
        <f>W30*1.1725</f>
        <v>133.94640000000001</v>
      </c>
      <c r="Y30" s="202">
        <v>27.4</v>
      </c>
      <c r="Z30" s="202">
        <v>31.03</v>
      </c>
      <c r="AA30" s="40">
        <v>59.76</v>
      </c>
      <c r="AB30" s="40">
        <f>59.76*1.17255</f>
        <v>70.071587999999991</v>
      </c>
    </row>
    <row r="31" spans="1:28">
      <c r="A31" s="90" t="s">
        <v>35</v>
      </c>
      <c r="B31" s="90" t="s">
        <v>35</v>
      </c>
      <c r="C31" s="91" t="s">
        <v>87</v>
      </c>
      <c r="D31" s="88" t="s">
        <v>58</v>
      </c>
      <c r="E31" s="202">
        <f t="shared" si="10"/>
        <v>374.25</v>
      </c>
      <c r="F31" s="202">
        <f t="shared" si="10"/>
        <v>213.03000000000003</v>
      </c>
      <c r="G31" s="158">
        <f t="shared" si="11"/>
        <v>320.73800000000006</v>
      </c>
      <c r="H31" s="158">
        <f t="shared" si="11"/>
        <v>376.06927096200002</v>
      </c>
      <c r="I31" s="202">
        <v>341.91</v>
      </c>
      <c r="J31" s="202">
        <v>191.02</v>
      </c>
      <c r="K31" s="40">
        <f>K30*0.22</f>
        <v>281.47020000000003</v>
      </c>
      <c r="L31" s="40">
        <f>L30*0.22</f>
        <v>330.02662420199999</v>
      </c>
      <c r="M31" s="202">
        <v>0.15</v>
      </c>
      <c r="N31" s="202">
        <v>0.08</v>
      </c>
      <c r="O31" s="40">
        <f>O30*0.22</f>
        <v>0.98780000000000001</v>
      </c>
      <c r="P31" s="40">
        <f>P30*0.22</f>
        <v>1.1586894000000001</v>
      </c>
      <c r="Q31" s="202">
        <f t="shared" si="12"/>
        <v>32.19</v>
      </c>
      <c r="R31" s="202">
        <f t="shared" si="12"/>
        <v>21.93</v>
      </c>
      <c r="S31" s="40">
        <f t="shared" ref="S31:T32" si="29">W31+AA31</f>
        <v>38.28</v>
      </c>
      <c r="T31" s="40">
        <f t="shared" si="29"/>
        <v>44.883957360000004</v>
      </c>
      <c r="U31" s="202">
        <v>22.17</v>
      </c>
      <c r="V31" s="202">
        <v>15.08</v>
      </c>
      <c r="W31" s="40">
        <f>W30*0.22</f>
        <v>25.1328</v>
      </c>
      <c r="X31" s="40">
        <f>X30*0.22</f>
        <v>29.468208000000004</v>
      </c>
      <c r="Y31" s="202">
        <v>10.02</v>
      </c>
      <c r="Z31" s="202">
        <v>6.85</v>
      </c>
      <c r="AA31" s="40">
        <f>AA30*0.22</f>
        <v>13.1472</v>
      </c>
      <c r="AB31" s="40">
        <f>AB30*0.22</f>
        <v>15.415749359999998</v>
      </c>
    </row>
    <row r="32" spans="1:28">
      <c r="A32" s="90" t="s">
        <v>88</v>
      </c>
      <c r="B32" s="90" t="s">
        <v>88</v>
      </c>
      <c r="C32" s="91" t="s">
        <v>85</v>
      </c>
      <c r="D32" s="88" t="s">
        <v>58</v>
      </c>
      <c r="E32" s="202">
        <f t="shared" si="10"/>
        <v>189.26000000000002</v>
      </c>
      <c r="F32" s="202">
        <f t="shared" si="10"/>
        <v>212.61</v>
      </c>
      <c r="G32" s="158">
        <f t="shared" si="11"/>
        <v>218.76</v>
      </c>
      <c r="H32" s="158">
        <f t="shared" si="11"/>
        <v>218.76</v>
      </c>
      <c r="I32" s="202">
        <v>172.9</v>
      </c>
      <c r="J32" s="202">
        <v>190.64</v>
      </c>
      <c r="K32" s="40">
        <v>191.98</v>
      </c>
      <c r="L32" s="40">
        <f>K32</f>
        <v>191.98</v>
      </c>
      <c r="M32" s="202">
        <v>0.08</v>
      </c>
      <c r="N32" s="202">
        <v>0.08</v>
      </c>
      <c r="O32" s="40">
        <v>0.67</v>
      </c>
      <c r="P32" s="40">
        <f>O32</f>
        <v>0.67</v>
      </c>
      <c r="Q32" s="202">
        <f t="shared" si="12"/>
        <v>16.28</v>
      </c>
      <c r="R32" s="202">
        <f t="shared" si="12"/>
        <v>21.89</v>
      </c>
      <c r="S32" s="40">
        <f t="shared" si="29"/>
        <v>26.11</v>
      </c>
      <c r="T32" s="40">
        <f t="shared" si="29"/>
        <v>26.11</v>
      </c>
      <c r="U32" s="202">
        <v>11.21</v>
      </c>
      <c r="V32" s="202">
        <v>15.05</v>
      </c>
      <c r="W32" s="40">
        <v>17.14</v>
      </c>
      <c r="X32" s="40">
        <v>17.14</v>
      </c>
      <c r="Y32" s="202">
        <v>5.07</v>
      </c>
      <c r="Z32" s="202">
        <v>6.84</v>
      </c>
      <c r="AA32" s="40">
        <v>8.9700000000000006</v>
      </c>
      <c r="AB32" s="40">
        <v>8.9700000000000006</v>
      </c>
    </row>
    <row r="33" spans="1:28">
      <c r="A33" s="90" t="s">
        <v>378</v>
      </c>
      <c r="B33" s="90" t="s">
        <v>378</v>
      </c>
      <c r="C33" s="91" t="s">
        <v>380</v>
      </c>
      <c r="D33" s="88" t="s">
        <v>58</v>
      </c>
      <c r="E33" s="202">
        <f t="shared" si="10"/>
        <v>0</v>
      </c>
      <c r="F33" s="202">
        <f t="shared" si="10"/>
        <v>0</v>
      </c>
      <c r="G33" s="158">
        <f t="shared" si="11"/>
        <v>0</v>
      </c>
      <c r="H33" s="158">
        <f t="shared" si="11"/>
        <v>0</v>
      </c>
      <c r="I33" s="202">
        <v>0</v>
      </c>
      <c r="J33" s="202">
        <v>0</v>
      </c>
      <c r="K33" s="40">
        <v>0</v>
      </c>
      <c r="L33" s="40">
        <v>0</v>
      </c>
      <c r="M33" s="202">
        <v>0</v>
      </c>
      <c r="N33" s="202">
        <v>0</v>
      </c>
      <c r="O33" s="40">
        <v>0</v>
      </c>
      <c r="P33" s="40">
        <v>0</v>
      </c>
      <c r="Q33" s="202">
        <v>0</v>
      </c>
      <c r="R33" s="202">
        <f t="shared" si="12"/>
        <v>0</v>
      </c>
      <c r="S33" s="40">
        <v>0</v>
      </c>
      <c r="T33" s="40">
        <v>0</v>
      </c>
      <c r="U33" s="202">
        <v>0</v>
      </c>
      <c r="V33" s="202">
        <v>0</v>
      </c>
      <c r="W33" s="40">
        <v>0</v>
      </c>
      <c r="X33" s="40">
        <v>0</v>
      </c>
      <c r="Y33" s="202">
        <v>0</v>
      </c>
      <c r="Z33" s="202">
        <v>0</v>
      </c>
      <c r="AA33" s="40">
        <v>0</v>
      </c>
      <c r="AB33" s="40">
        <v>0</v>
      </c>
    </row>
    <row r="34" spans="1:28">
      <c r="A34" s="90" t="s">
        <v>379</v>
      </c>
      <c r="B34" s="90" t="s">
        <v>379</v>
      </c>
      <c r="C34" s="91" t="s">
        <v>5</v>
      </c>
      <c r="D34" s="88" t="s">
        <v>58</v>
      </c>
      <c r="E34" s="202">
        <f t="shared" si="10"/>
        <v>0</v>
      </c>
      <c r="F34" s="202">
        <f t="shared" si="10"/>
        <v>0</v>
      </c>
      <c r="G34" s="158">
        <f t="shared" si="11"/>
        <v>0</v>
      </c>
      <c r="H34" s="158">
        <f t="shared" si="11"/>
        <v>0</v>
      </c>
      <c r="I34" s="202">
        <v>0</v>
      </c>
      <c r="J34" s="202">
        <v>0</v>
      </c>
      <c r="K34" s="40">
        <v>0</v>
      </c>
      <c r="L34" s="40">
        <v>0</v>
      </c>
      <c r="M34" s="202">
        <v>0</v>
      </c>
      <c r="N34" s="202">
        <v>0</v>
      </c>
      <c r="O34" s="40">
        <v>0</v>
      </c>
      <c r="P34" s="40">
        <v>0</v>
      </c>
      <c r="Q34" s="202">
        <v>0</v>
      </c>
      <c r="R34" s="202">
        <f t="shared" si="12"/>
        <v>0</v>
      </c>
      <c r="S34" s="40">
        <v>0</v>
      </c>
      <c r="T34" s="40">
        <v>0</v>
      </c>
      <c r="U34" s="202">
        <v>0</v>
      </c>
      <c r="V34" s="202">
        <v>0</v>
      </c>
      <c r="W34" s="40">
        <v>0</v>
      </c>
      <c r="X34" s="40">
        <v>0</v>
      </c>
      <c r="Y34" s="202">
        <v>0</v>
      </c>
      <c r="Z34" s="202">
        <v>0</v>
      </c>
      <c r="AA34" s="40">
        <v>0</v>
      </c>
      <c r="AB34" s="40">
        <v>0</v>
      </c>
    </row>
    <row r="35" spans="1:28" s="16" customFormat="1">
      <c r="A35" s="92" t="s">
        <v>345</v>
      </c>
      <c r="B35" s="92" t="s">
        <v>345</v>
      </c>
      <c r="C35" s="93" t="s">
        <v>381</v>
      </c>
      <c r="D35" s="94" t="s">
        <v>58</v>
      </c>
      <c r="E35" s="202">
        <f t="shared" ref="E35:F37" si="30">I35+M35+Q35</f>
        <v>110633.28</v>
      </c>
      <c r="F35" s="202">
        <f t="shared" si="30"/>
        <v>172526.21000000002</v>
      </c>
      <c r="G35" s="158" t="e">
        <f t="shared" si="11"/>
        <v>#VALUE!</v>
      </c>
      <c r="H35" s="158">
        <f t="shared" si="11"/>
        <v>336477.53310624138</v>
      </c>
      <c r="I35" s="202">
        <f t="shared" ref="I35:J35" si="31">I9+I29</f>
        <v>86638.8</v>
      </c>
      <c r="J35" s="202">
        <f t="shared" si="31"/>
        <v>144247.07</v>
      </c>
      <c r="K35" s="40">
        <f>K9+K29</f>
        <v>275227.97759999998</v>
      </c>
      <c r="L35" s="40">
        <f>L9+L29</f>
        <v>280255.55986072839</v>
      </c>
      <c r="M35" s="202">
        <f t="shared" ref="M35:N35" si="32">M9+M29</f>
        <v>59.780000000000008</v>
      </c>
      <c r="N35" s="202">
        <f t="shared" si="32"/>
        <v>50.949999999999996</v>
      </c>
      <c r="O35" s="40">
        <f>O9+O29</f>
        <v>604.14859999999987</v>
      </c>
      <c r="P35" s="40">
        <f>P9+P29</f>
        <v>619.33359544400003</v>
      </c>
      <c r="Q35" s="202">
        <f t="shared" ref="Q35:R35" si="33">Q9+Q29</f>
        <v>23934.699999999997</v>
      </c>
      <c r="R35" s="202">
        <f t="shared" si="33"/>
        <v>28228.190000000002</v>
      </c>
      <c r="S35" s="40" t="e">
        <f>S9+S29</f>
        <v>#VALUE!</v>
      </c>
      <c r="T35" s="40">
        <f>T9+T29</f>
        <v>55602.63965006901</v>
      </c>
      <c r="U35" s="202">
        <f t="shared" ref="U35:V35" si="34">U9+U29</f>
        <v>16490.14</v>
      </c>
      <c r="V35" s="202">
        <f t="shared" si="34"/>
        <v>19325.670000000002</v>
      </c>
      <c r="W35" s="40">
        <f>W9+W29</f>
        <v>24638.262600000002</v>
      </c>
      <c r="X35" s="40">
        <f>X9+X29</f>
        <v>36505.317530431596</v>
      </c>
      <c r="Y35" s="202">
        <f t="shared" ref="Y35:Z35" si="35">Y9+Y29</f>
        <v>7444.56</v>
      </c>
      <c r="Z35" s="202">
        <f t="shared" si="35"/>
        <v>8902.52</v>
      </c>
      <c r="AA35" s="40" t="e">
        <f>AA9+AA29</f>
        <v>#VALUE!</v>
      </c>
      <c r="AB35" s="40">
        <f>AB9+AB29</f>
        <v>19097.3221196374</v>
      </c>
    </row>
    <row r="36" spans="1:28" s="16" customFormat="1">
      <c r="A36" s="92" t="s">
        <v>347</v>
      </c>
      <c r="B36" s="92" t="s">
        <v>347</v>
      </c>
      <c r="C36" s="93" t="s">
        <v>382</v>
      </c>
      <c r="D36" s="94" t="s">
        <v>58</v>
      </c>
      <c r="E36" s="202">
        <f t="shared" si="30"/>
        <v>0</v>
      </c>
      <c r="F36" s="202">
        <f t="shared" si="30"/>
        <v>0</v>
      </c>
      <c r="G36" s="158">
        <f t="shared" si="11"/>
        <v>3009.8999999999996</v>
      </c>
      <c r="H36" s="158">
        <f t="shared" si="11"/>
        <v>0</v>
      </c>
      <c r="I36" s="204">
        <v>0</v>
      </c>
      <c r="J36" s="204">
        <v>0</v>
      </c>
      <c r="K36" s="40">
        <v>0</v>
      </c>
      <c r="L36" s="40">
        <v>0</v>
      </c>
      <c r="M36" s="204">
        <v>0</v>
      </c>
      <c r="N36" s="204">
        <v>0</v>
      </c>
      <c r="O36" s="40">
        <v>0</v>
      </c>
      <c r="P36" s="40">
        <v>0</v>
      </c>
      <c r="Q36" s="202">
        <v>0</v>
      </c>
      <c r="R36" s="202">
        <v>0</v>
      </c>
      <c r="S36" s="40">
        <f>W36+AA36</f>
        <v>3009.8999999999996</v>
      </c>
      <c r="T36" s="40">
        <v>0</v>
      </c>
      <c r="U36" s="204">
        <v>0</v>
      </c>
      <c r="V36" s="204">
        <v>0</v>
      </c>
      <c r="W36" s="40">
        <v>1976.12</v>
      </c>
      <c r="X36" s="40">
        <v>0</v>
      </c>
      <c r="Y36" s="202">
        <v>0</v>
      </c>
      <c r="Z36" s="202">
        <v>0</v>
      </c>
      <c r="AA36" s="40">
        <v>1033.78</v>
      </c>
      <c r="AB36" s="40">
        <v>0</v>
      </c>
    </row>
    <row r="37" spans="1:28" s="16" customFormat="1">
      <c r="A37" s="92">
        <v>7</v>
      </c>
      <c r="B37" s="92">
        <v>7</v>
      </c>
      <c r="C37" s="93" t="s">
        <v>383</v>
      </c>
      <c r="D37" s="94" t="s">
        <v>58</v>
      </c>
      <c r="E37" s="202">
        <f t="shared" si="30"/>
        <v>0</v>
      </c>
      <c r="F37" s="202">
        <f t="shared" si="30"/>
        <v>0</v>
      </c>
      <c r="G37" s="158">
        <f t="shared" si="11"/>
        <v>2658.91</v>
      </c>
      <c r="H37" s="158">
        <f t="shared" si="11"/>
        <v>2658.91</v>
      </c>
      <c r="I37" s="205">
        <v>0</v>
      </c>
      <c r="J37" s="205">
        <v>0</v>
      </c>
      <c r="K37" s="40">
        <f>SUM(K38:K42)</f>
        <v>0</v>
      </c>
      <c r="L37" s="40">
        <f>SUM(L38:L42)</f>
        <v>0</v>
      </c>
      <c r="M37" s="205">
        <v>0</v>
      </c>
      <c r="N37" s="205">
        <v>0</v>
      </c>
      <c r="O37" s="40">
        <f>SUM(O38:O42)</f>
        <v>0</v>
      </c>
      <c r="P37" s="40">
        <f>SUM(P38:P42)</f>
        <v>0</v>
      </c>
      <c r="Q37" s="202">
        <f t="shared" ref="Q37:R37" si="36">SUM(Q38:Q42)</f>
        <v>0</v>
      </c>
      <c r="R37" s="202">
        <f t="shared" si="36"/>
        <v>0</v>
      </c>
      <c r="S37" s="40">
        <f>SUM(S38:S42)</f>
        <v>2658.91</v>
      </c>
      <c r="T37" s="40">
        <f>SUM(T38:T42)</f>
        <v>2658.91</v>
      </c>
      <c r="U37" s="202">
        <f t="shared" ref="U37:V37" si="37">SUM(U38:U42)</f>
        <v>0</v>
      </c>
      <c r="V37" s="202">
        <f t="shared" si="37"/>
        <v>0</v>
      </c>
      <c r="W37" s="40">
        <f>SUM(W38:W42)</f>
        <v>1745.68</v>
      </c>
      <c r="X37" s="40">
        <f>SUM(X38:X42)</f>
        <v>1745.68</v>
      </c>
      <c r="Y37" s="202">
        <f t="shared" ref="Y37:Z37" si="38">SUM(Y38:Y42)</f>
        <v>0</v>
      </c>
      <c r="Z37" s="202">
        <f t="shared" si="38"/>
        <v>0</v>
      </c>
      <c r="AA37" s="40">
        <f>SUM(AA38:AA42)</f>
        <v>913.23</v>
      </c>
      <c r="AB37" s="40">
        <f>SUM(AB38:AB42)</f>
        <v>913.23</v>
      </c>
    </row>
    <row r="38" spans="1:28">
      <c r="A38" s="90" t="s">
        <v>93</v>
      </c>
      <c r="B38" s="90" t="s">
        <v>93</v>
      </c>
      <c r="C38" s="91" t="s">
        <v>94</v>
      </c>
      <c r="D38" s="88" t="s">
        <v>58</v>
      </c>
      <c r="E38" s="202">
        <f t="shared" ref="E38:F43" si="39">I38+M38+Q38</f>
        <v>0</v>
      </c>
      <c r="F38" s="202">
        <f t="shared" si="39"/>
        <v>0</v>
      </c>
      <c r="G38" s="158">
        <f t="shared" si="11"/>
        <v>478.6</v>
      </c>
      <c r="H38" s="158">
        <f t="shared" si="11"/>
        <v>478.6</v>
      </c>
      <c r="I38" s="202">
        <v>0</v>
      </c>
      <c r="J38" s="202">
        <v>0</v>
      </c>
      <c r="K38" s="40">
        <v>0</v>
      </c>
      <c r="L38" s="40">
        <v>0</v>
      </c>
      <c r="M38" s="202">
        <v>0</v>
      </c>
      <c r="N38" s="202">
        <v>0</v>
      </c>
      <c r="O38" s="40">
        <v>0</v>
      </c>
      <c r="P38" s="40">
        <f>O38</f>
        <v>0</v>
      </c>
      <c r="Q38" s="202">
        <v>0</v>
      </c>
      <c r="R38" s="202">
        <v>0</v>
      </c>
      <c r="S38" s="40">
        <f>W38+AA38</f>
        <v>478.6</v>
      </c>
      <c r="T38" s="40">
        <f>X38+AB38</f>
        <v>478.6</v>
      </c>
      <c r="U38" s="202">
        <v>0</v>
      </c>
      <c r="V38" s="202">
        <v>0</v>
      </c>
      <c r="W38" s="40">
        <v>314.22000000000003</v>
      </c>
      <c r="X38" s="40">
        <f>W38</f>
        <v>314.22000000000003</v>
      </c>
      <c r="Y38" s="202">
        <v>0</v>
      </c>
      <c r="Z38" s="202">
        <v>0</v>
      </c>
      <c r="AA38" s="40">
        <v>164.38</v>
      </c>
      <c r="AB38" s="40">
        <v>164.38</v>
      </c>
    </row>
    <row r="39" spans="1:28">
      <c r="A39" s="90" t="s">
        <v>95</v>
      </c>
      <c r="B39" s="90" t="s">
        <v>95</v>
      </c>
      <c r="C39" s="91" t="s">
        <v>96</v>
      </c>
      <c r="D39" s="88" t="s">
        <v>58</v>
      </c>
      <c r="E39" s="202">
        <f t="shared" si="39"/>
        <v>0</v>
      </c>
      <c r="F39" s="202">
        <f t="shared" si="39"/>
        <v>0</v>
      </c>
      <c r="G39" s="158">
        <f t="shared" si="11"/>
        <v>0</v>
      </c>
      <c r="H39" s="158">
        <f t="shared" si="11"/>
        <v>0</v>
      </c>
      <c r="I39" s="202">
        <v>0</v>
      </c>
      <c r="J39" s="202">
        <v>0</v>
      </c>
      <c r="K39" s="40">
        <v>0</v>
      </c>
      <c r="L39" s="40">
        <v>0</v>
      </c>
      <c r="M39" s="202">
        <v>0</v>
      </c>
      <c r="N39" s="202">
        <v>0</v>
      </c>
      <c r="O39" s="40">
        <v>0</v>
      </c>
      <c r="P39" s="40">
        <v>0</v>
      </c>
      <c r="Q39" s="202">
        <v>0</v>
      </c>
      <c r="R39" s="202">
        <v>0</v>
      </c>
      <c r="S39" s="40">
        <f t="shared" ref="S39:T42" si="40">W39+AA39</f>
        <v>0</v>
      </c>
      <c r="T39" s="40">
        <f t="shared" si="40"/>
        <v>0</v>
      </c>
      <c r="U39" s="202">
        <v>0</v>
      </c>
      <c r="V39" s="202">
        <v>0</v>
      </c>
      <c r="W39" s="40">
        <v>0</v>
      </c>
      <c r="X39" s="40">
        <v>0</v>
      </c>
      <c r="Y39" s="202">
        <v>0</v>
      </c>
      <c r="Z39" s="202">
        <v>0</v>
      </c>
      <c r="AA39" s="40">
        <v>0</v>
      </c>
      <c r="AB39" s="40">
        <v>0</v>
      </c>
    </row>
    <row r="40" spans="1:28">
      <c r="A40" s="90" t="s">
        <v>97</v>
      </c>
      <c r="B40" s="90" t="s">
        <v>97</v>
      </c>
      <c r="C40" s="91" t="s">
        <v>98</v>
      </c>
      <c r="D40" s="88" t="s">
        <v>58</v>
      </c>
      <c r="E40" s="202">
        <f t="shared" si="39"/>
        <v>0</v>
      </c>
      <c r="F40" s="202">
        <f t="shared" si="39"/>
        <v>0</v>
      </c>
      <c r="G40" s="158">
        <f t="shared" si="11"/>
        <v>0</v>
      </c>
      <c r="H40" s="158">
        <f t="shared" si="11"/>
        <v>0</v>
      </c>
      <c r="I40" s="202">
        <v>0</v>
      </c>
      <c r="J40" s="202">
        <v>0</v>
      </c>
      <c r="K40" s="40">
        <v>0</v>
      </c>
      <c r="L40" s="40">
        <v>0</v>
      </c>
      <c r="M40" s="202">
        <v>0</v>
      </c>
      <c r="N40" s="202">
        <v>0</v>
      </c>
      <c r="O40" s="40">
        <v>0</v>
      </c>
      <c r="P40" s="40">
        <v>0</v>
      </c>
      <c r="Q40" s="202">
        <v>0</v>
      </c>
      <c r="R40" s="202">
        <v>0</v>
      </c>
      <c r="S40" s="40">
        <f t="shared" si="40"/>
        <v>0</v>
      </c>
      <c r="T40" s="40">
        <f t="shared" si="40"/>
        <v>0</v>
      </c>
      <c r="U40" s="202">
        <v>0</v>
      </c>
      <c r="V40" s="202">
        <v>0</v>
      </c>
      <c r="W40" s="40">
        <v>0</v>
      </c>
      <c r="X40" s="40">
        <v>0</v>
      </c>
      <c r="Y40" s="202">
        <v>0</v>
      </c>
      <c r="Z40" s="202">
        <v>0</v>
      </c>
      <c r="AA40" s="40">
        <v>0</v>
      </c>
      <c r="AB40" s="40">
        <v>0</v>
      </c>
    </row>
    <row r="41" spans="1:28">
      <c r="A41" s="90" t="s">
        <v>99</v>
      </c>
      <c r="B41" s="90" t="s">
        <v>99</v>
      </c>
      <c r="C41" s="91" t="s">
        <v>100</v>
      </c>
      <c r="D41" s="88" t="s">
        <v>58</v>
      </c>
      <c r="E41" s="202">
        <f t="shared" si="39"/>
        <v>0</v>
      </c>
      <c r="F41" s="202">
        <f t="shared" si="39"/>
        <v>0</v>
      </c>
      <c r="G41" s="158">
        <f t="shared" si="11"/>
        <v>2180.31</v>
      </c>
      <c r="H41" s="158">
        <f t="shared" si="11"/>
        <v>2180.31</v>
      </c>
      <c r="I41" s="202">
        <v>0</v>
      </c>
      <c r="J41" s="202">
        <v>0</v>
      </c>
      <c r="K41" s="40">
        <v>0</v>
      </c>
      <c r="L41" s="40">
        <v>0</v>
      </c>
      <c r="M41" s="202">
        <v>0</v>
      </c>
      <c r="N41" s="202">
        <v>0</v>
      </c>
      <c r="O41" s="40">
        <v>0</v>
      </c>
      <c r="P41" s="40">
        <f>O41</f>
        <v>0</v>
      </c>
      <c r="Q41" s="202">
        <v>0</v>
      </c>
      <c r="R41" s="202">
        <v>0</v>
      </c>
      <c r="S41" s="40">
        <f t="shared" si="40"/>
        <v>2180.31</v>
      </c>
      <c r="T41" s="40">
        <f t="shared" si="40"/>
        <v>2180.31</v>
      </c>
      <c r="U41" s="202">
        <v>0</v>
      </c>
      <c r="V41" s="202">
        <v>0</v>
      </c>
      <c r="W41" s="40">
        <v>1431.46</v>
      </c>
      <c r="X41" s="40">
        <f>W41</f>
        <v>1431.46</v>
      </c>
      <c r="Y41" s="202">
        <v>0</v>
      </c>
      <c r="Z41" s="202">
        <v>0</v>
      </c>
      <c r="AA41" s="40">
        <v>748.85</v>
      </c>
      <c r="AB41" s="40">
        <v>748.85</v>
      </c>
    </row>
    <row r="42" spans="1:28">
      <c r="A42" s="90" t="s">
        <v>101</v>
      </c>
      <c r="B42" s="90" t="s">
        <v>101</v>
      </c>
      <c r="C42" s="91" t="s">
        <v>102</v>
      </c>
      <c r="D42" s="88" t="s">
        <v>58</v>
      </c>
      <c r="E42" s="202">
        <f t="shared" si="39"/>
        <v>0</v>
      </c>
      <c r="F42" s="202">
        <f t="shared" si="39"/>
        <v>0</v>
      </c>
      <c r="G42" s="158">
        <f t="shared" si="11"/>
        <v>0</v>
      </c>
      <c r="H42" s="158">
        <f t="shared" si="11"/>
        <v>0</v>
      </c>
      <c r="I42" s="202">
        <v>0</v>
      </c>
      <c r="J42" s="202">
        <v>0</v>
      </c>
      <c r="K42" s="40">
        <v>0</v>
      </c>
      <c r="L42" s="40">
        <v>0</v>
      </c>
      <c r="M42" s="202">
        <v>0</v>
      </c>
      <c r="N42" s="202">
        <v>0</v>
      </c>
      <c r="O42" s="40">
        <v>0</v>
      </c>
      <c r="P42" s="40">
        <v>0</v>
      </c>
      <c r="Q42" s="202">
        <v>0</v>
      </c>
      <c r="R42" s="202">
        <v>0</v>
      </c>
      <c r="S42" s="40">
        <f t="shared" si="40"/>
        <v>0</v>
      </c>
      <c r="T42" s="40">
        <f t="shared" si="40"/>
        <v>0</v>
      </c>
      <c r="U42" s="202">
        <v>0</v>
      </c>
      <c r="V42" s="202">
        <v>0</v>
      </c>
      <c r="W42" s="40">
        <v>0</v>
      </c>
      <c r="X42" s="40">
        <v>0</v>
      </c>
      <c r="Y42" s="202">
        <v>0</v>
      </c>
      <c r="Z42" s="202">
        <v>0</v>
      </c>
      <c r="AA42" s="40">
        <v>0</v>
      </c>
      <c r="AB42" s="40">
        <v>0</v>
      </c>
    </row>
    <row r="43" spans="1:28" s="16" customFormat="1" ht="21">
      <c r="A43" s="92">
        <v>8</v>
      </c>
      <c r="B43" s="92">
        <v>8</v>
      </c>
      <c r="C43" s="93" t="s">
        <v>103</v>
      </c>
      <c r="D43" s="94" t="s">
        <v>58</v>
      </c>
      <c r="E43" s="202">
        <f t="shared" si="39"/>
        <v>110633.28</v>
      </c>
      <c r="F43" s="202">
        <f t="shared" si="39"/>
        <v>172526.21000000002</v>
      </c>
      <c r="G43" s="158" t="e">
        <f t="shared" si="11"/>
        <v>#VALUE!</v>
      </c>
      <c r="H43" s="158">
        <f t="shared" si="11"/>
        <v>339136.44310624141</v>
      </c>
      <c r="I43" s="202">
        <f t="shared" ref="I43:J43" si="41">I35+I37</f>
        <v>86638.8</v>
      </c>
      <c r="J43" s="202">
        <f t="shared" si="41"/>
        <v>144247.07</v>
      </c>
      <c r="K43" s="40">
        <f>K35+K37</f>
        <v>275227.97759999998</v>
      </c>
      <c r="L43" s="40">
        <f>L35+L37</f>
        <v>280255.55986072839</v>
      </c>
      <c r="M43" s="202">
        <f t="shared" ref="M43:N43" si="42">M35+M37</f>
        <v>59.780000000000008</v>
      </c>
      <c r="N43" s="202">
        <f t="shared" si="42"/>
        <v>50.949999999999996</v>
      </c>
      <c r="O43" s="40">
        <f>O35+O37</f>
        <v>604.14859999999987</v>
      </c>
      <c r="P43" s="40">
        <f>P35+P37</f>
        <v>619.33359544400003</v>
      </c>
      <c r="Q43" s="202">
        <f>Q35+Q37+Q36</f>
        <v>23934.699999999997</v>
      </c>
      <c r="R43" s="202">
        <f>R35+R37+R36</f>
        <v>28228.190000000002</v>
      </c>
      <c r="S43" s="40" t="e">
        <f>S35+S37+S36</f>
        <v>#VALUE!</v>
      </c>
      <c r="T43" s="40">
        <f>T35+T37</f>
        <v>58261.549650069006</v>
      </c>
      <c r="U43" s="202">
        <f>U35+U37+U36</f>
        <v>16490.14</v>
      </c>
      <c r="V43" s="202">
        <f>V35+V37+V36</f>
        <v>19325.670000000002</v>
      </c>
      <c r="W43" s="40">
        <f>W35+W37+W36</f>
        <v>28360.062600000001</v>
      </c>
      <c r="X43" s="40">
        <f>X35+X37</f>
        <v>38250.997530431596</v>
      </c>
      <c r="Y43" s="202">
        <f>Y35+Y37+Y36</f>
        <v>7444.56</v>
      </c>
      <c r="Z43" s="202">
        <f>Z35+Z37+Z36</f>
        <v>8902.52</v>
      </c>
      <c r="AA43" s="40" t="e">
        <f>AA35+AA37+AA36</f>
        <v>#VALUE!</v>
      </c>
      <c r="AB43" s="40">
        <f>AB35+AB37</f>
        <v>20010.552119637399</v>
      </c>
    </row>
    <row r="44" spans="1:28" s="16" customFormat="1">
      <c r="A44" s="92">
        <v>9</v>
      </c>
      <c r="B44" s="92">
        <v>9</v>
      </c>
      <c r="C44" s="93" t="s">
        <v>104</v>
      </c>
      <c r="D44" s="94" t="s">
        <v>105</v>
      </c>
      <c r="E44" s="203">
        <f t="shared" ref="E44:F44" si="43">E43/E45*1000</f>
        <v>492.10408313292203</v>
      </c>
      <c r="F44" s="203">
        <f t="shared" si="43"/>
        <v>775.7876015688945</v>
      </c>
      <c r="G44" s="158" t="e">
        <f>G43/G45*1000</f>
        <v>#VALUE!</v>
      </c>
      <c r="H44" s="158">
        <f>H43/H45*1000</f>
        <v>1047.8521373677722</v>
      </c>
      <c r="I44" s="202">
        <f t="shared" ref="I44:J44" si="44">I43/I45*1000</f>
        <v>421.15918671790195</v>
      </c>
      <c r="J44" s="202">
        <f t="shared" si="44"/>
        <v>723.37690733416287</v>
      </c>
      <c r="K44" s="40">
        <f>K43/K45*1000</f>
        <v>966.04557256863893</v>
      </c>
      <c r="L44" s="40">
        <f>L43/L45*1000</f>
        <v>983.69230174949269</v>
      </c>
      <c r="M44" s="202">
        <f t="shared" ref="M44:N44" si="45">M43/M45*1000</f>
        <v>672.13852035079833</v>
      </c>
      <c r="N44" s="202">
        <f t="shared" si="45"/>
        <v>599.41176470588232</v>
      </c>
      <c r="O44" s="40">
        <v>604.15</v>
      </c>
      <c r="P44" s="40">
        <v>609.79</v>
      </c>
      <c r="Q44" s="202">
        <f t="shared" ref="Q44:R44" si="46">Q43/Q45*1000</f>
        <v>1258.8729697887736</v>
      </c>
      <c r="R44" s="202">
        <f t="shared" si="46"/>
        <v>1232.9110971734258</v>
      </c>
      <c r="S44" s="40" t="e">
        <f>S43/S45*1000</f>
        <v>#VALUE!</v>
      </c>
      <c r="T44" s="40">
        <f>T43/T45*1000</f>
        <v>1503.6212577916403</v>
      </c>
      <c r="U44" s="202">
        <f t="shared" ref="U44:V44" si="47">U43/U45*1000</f>
        <v>1236.0488448775618</v>
      </c>
      <c r="V44" s="202">
        <f t="shared" si="47"/>
        <v>1227.3617559079621</v>
      </c>
      <c r="W44" s="40">
        <f>W43/W45*1000</f>
        <v>1114.814762693569</v>
      </c>
      <c r="X44" s="40">
        <f>X43/X45*1000</f>
        <v>1503.6206843450477</v>
      </c>
      <c r="Y44" s="202">
        <f t="shared" ref="Y44:Z44" si="48">Y43/Y45*1000</f>
        <v>1312.5591744405208</v>
      </c>
      <c r="Z44" s="202">
        <f t="shared" si="48"/>
        <v>1245.1320725161052</v>
      </c>
      <c r="AA44" s="40" t="e">
        <f>AA43/AA45*1000</f>
        <v>#VALUE!</v>
      </c>
      <c r="AB44" s="40">
        <f>AB43/AB45*1000</f>
        <v>1503.6223539597227</v>
      </c>
    </row>
    <row r="45" spans="1:28" s="16" customFormat="1" ht="19.5" customHeight="1">
      <c r="A45" s="92">
        <v>10</v>
      </c>
      <c r="B45" s="92">
        <v>10</v>
      </c>
      <c r="C45" s="93" t="s">
        <v>106</v>
      </c>
      <c r="D45" s="94" t="s">
        <v>27</v>
      </c>
      <c r="E45" s="203">
        <f>I45+M45+Q45</f>
        <v>224816.83</v>
      </c>
      <c r="F45" s="203">
        <f>J45+N45+R45</f>
        <v>222388.46</v>
      </c>
      <c r="G45" s="158">
        <f t="shared" si="11"/>
        <v>323649.14</v>
      </c>
      <c r="H45" s="158">
        <f t="shared" si="11"/>
        <v>323649.14</v>
      </c>
      <c r="I45" s="204">
        <v>205715.09</v>
      </c>
      <c r="J45" s="204">
        <v>199407.9</v>
      </c>
      <c r="K45" s="40">
        <v>284901.65000000002</v>
      </c>
      <c r="L45" s="40">
        <f>K45</f>
        <v>284901.65000000002</v>
      </c>
      <c r="M45" s="204">
        <v>88.94</v>
      </c>
      <c r="N45" s="204">
        <v>85</v>
      </c>
      <c r="O45" s="40">
        <v>0</v>
      </c>
      <c r="P45" s="40">
        <v>0</v>
      </c>
      <c r="Q45" s="202">
        <f>U45+Y45</f>
        <v>19012.8</v>
      </c>
      <c r="R45" s="202">
        <f>V45+Z45</f>
        <v>22895.56</v>
      </c>
      <c r="S45" s="40">
        <f>W45+AA45</f>
        <v>38747.49</v>
      </c>
      <c r="T45" s="40">
        <f>X45+AB45</f>
        <v>38747.49</v>
      </c>
      <c r="U45" s="204">
        <v>13341.01</v>
      </c>
      <c r="V45" s="204">
        <v>15745.7</v>
      </c>
      <c r="W45" s="40">
        <v>25439.26</v>
      </c>
      <c r="X45" s="40">
        <f>W45</f>
        <v>25439.26</v>
      </c>
      <c r="Y45" s="204">
        <v>5671.79</v>
      </c>
      <c r="Z45" s="204">
        <v>7149.86</v>
      </c>
      <c r="AA45" s="40">
        <v>13308.23</v>
      </c>
      <c r="AB45" s="40">
        <v>13308.23</v>
      </c>
    </row>
    <row r="46" spans="1:28" ht="15" customHeight="1">
      <c r="A46" s="90">
        <v>11</v>
      </c>
      <c r="B46" s="90">
        <v>11</v>
      </c>
      <c r="C46" s="91" t="s">
        <v>108</v>
      </c>
      <c r="D46" s="88" t="s">
        <v>27</v>
      </c>
      <c r="E46" s="203">
        <f>I46+M46+Q46</f>
        <v>3151.75</v>
      </c>
      <c r="F46" s="203">
        <f>J46+N46+R46</f>
        <v>1803</v>
      </c>
      <c r="G46" s="158">
        <f t="shared" si="11"/>
        <v>0</v>
      </c>
      <c r="H46" s="158">
        <f t="shared" si="11"/>
        <v>0</v>
      </c>
      <c r="I46" s="202">
        <v>0</v>
      </c>
      <c r="J46" s="202">
        <v>0</v>
      </c>
      <c r="K46" s="40">
        <v>0</v>
      </c>
      <c r="L46" s="40">
        <v>0</v>
      </c>
      <c r="M46" s="203">
        <v>0</v>
      </c>
      <c r="N46" s="203">
        <v>0</v>
      </c>
      <c r="O46" s="40">
        <v>0</v>
      </c>
      <c r="P46" s="40">
        <v>0</v>
      </c>
      <c r="Q46" s="202">
        <f>U46+Y46</f>
        <v>3151.75</v>
      </c>
      <c r="R46" s="202">
        <f>V46</f>
        <v>1803</v>
      </c>
      <c r="S46" s="40">
        <v>0</v>
      </c>
      <c r="T46" s="40">
        <v>0</v>
      </c>
      <c r="U46" s="203">
        <v>2995</v>
      </c>
      <c r="V46" s="203">
        <v>1803</v>
      </c>
      <c r="W46" s="40">
        <v>0</v>
      </c>
      <c r="X46" s="40">
        <v>0</v>
      </c>
      <c r="Y46" s="203">
        <v>156.75</v>
      </c>
      <c r="Z46" s="203">
        <v>0</v>
      </c>
      <c r="AA46" s="40">
        <v>0</v>
      </c>
      <c r="AB46" s="40">
        <v>0</v>
      </c>
    </row>
    <row r="47" spans="1:28">
      <c r="A47" s="90">
        <v>12</v>
      </c>
      <c r="B47" s="90">
        <v>12</v>
      </c>
      <c r="C47" s="91" t="s">
        <v>109</v>
      </c>
      <c r="D47" s="88" t="s">
        <v>105</v>
      </c>
      <c r="E47" s="203">
        <v>840.84</v>
      </c>
      <c r="F47" s="203">
        <f>J47+N47+R47</f>
        <v>840.84</v>
      </c>
      <c r="G47" s="158">
        <f t="shared" si="11"/>
        <v>0</v>
      </c>
      <c r="H47" s="158">
        <f t="shared" si="11"/>
        <v>0</v>
      </c>
      <c r="I47" s="202">
        <v>0</v>
      </c>
      <c r="J47" s="202">
        <v>0</v>
      </c>
      <c r="K47" s="40">
        <v>0</v>
      </c>
      <c r="L47" s="40">
        <v>0</v>
      </c>
      <c r="M47" s="203">
        <v>0</v>
      </c>
      <c r="N47" s="203">
        <v>0</v>
      </c>
      <c r="O47" s="40">
        <v>0</v>
      </c>
      <c r="P47" s="40">
        <v>0</v>
      </c>
      <c r="Q47" s="202">
        <f>U47</f>
        <v>840.84</v>
      </c>
      <c r="R47" s="202">
        <f>V47</f>
        <v>840.84</v>
      </c>
      <c r="S47" s="40">
        <v>0</v>
      </c>
      <c r="T47" s="40">
        <v>0</v>
      </c>
      <c r="U47" s="203">
        <v>840.84</v>
      </c>
      <c r="V47" s="203">
        <v>840.84</v>
      </c>
      <c r="W47" s="40">
        <v>0</v>
      </c>
      <c r="X47" s="40">
        <v>0</v>
      </c>
      <c r="Y47" s="203">
        <v>840.84</v>
      </c>
      <c r="Z47" s="203">
        <v>0</v>
      </c>
      <c r="AA47" s="40">
        <v>0</v>
      </c>
      <c r="AB47" s="40">
        <v>0</v>
      </c>
    </row>
    <row r="48" spans="1:28" ht="22.5">
      <c r="A48" s="90">
        <v>13</v>
      </c>
      <c r="B48" s="90">
        <v>13</v>
      </c>
      <c r="C48" s="91" t="s">
        <v>110</v>
      </c>
      <c r="D48" s="88" t="s">
        <v>27</v>
      </c>
      <c r="E48" s="203">
        <v>0</v>
      </c>
      <c r="F48" s="203">
        <v>0</v>
      </c>
      <c r="G48" s="158">
        <f t="shared" si="11"/>
        <v>0</v>
      </c>
      <c r="H48" s="158">
        <f t="shared" si="11"/>
        <v>0</v>
      </c>
      <c r="I48" s="202">
        <v>0</v>
      </c>
      <c r="J48" s="202">
        <v>0</v>
      </c>
      <c r="K48" s="40">
        <v>0</v>
      </c>
      <c r="L48" s="40">
        <v>0</v>
      </c>
      <c r="M48" s="203">
        <v>0</v>
      </c>
      <c r="N48" s="203">
        <v>0</v>
      </c>
      <c r="O48" s="40">
        <v>0</v>
      </c>
      <c r="P48" s="40">
        <v>0</v>
      </c>
      <c r="Q48" s="202">
        <v>0</v>
      </c>
      <c r="R48" s="202">
        <v>0</v>
      </c>
      <c r="S48" s="40">
        <v>0</v>
      </c>
      <c r="T48" s="40">
        <v>0</v>
      </c>
      <c r="U48" s="202">
        <v>0</v>
      </c>
      <c r="V48" s="203">
        <v>0</v>
      </c>
      <c r="W48" s="40">
        <v>0</v>
      </c>
      <c r="X48" s="40">
        <v>0</v>
      </c>
      <c r="Y48" s="203">
        <v>0</v>
      </c>
      <c r="Z48" s="203">
        <v>0</v>
      </c>
      <c r="AA48" s="40">
        <v>0</v>
      </c>
      <c r="AB48" s="40">
        <v>0</v>
      </c>
    </row>
    <row r="49" spans="1:28" ht="22.5">
      <c r="A49" s="90">
        <v>14</v>
      </c>
      <c r="B49" s="90">
        <v>14</v>
      </c>
      <c r="C49" s="91" t="s">
        <v>111</v>
      </c>
      <c r="D49" s="88" t="s">
        <v>105</v>
      </c>
      <c r="E49" s="203">
        <v>0</v>
      </c>
      <c r="F49" s="203">
        <v>0</v>
      </c>
      <c r="G49" s="158">
        <f t="shared" si="11"/>
        <v>0</v>
      </c>
      <c r="H49" s="158">
        <f t="shared" si="11"/>
        <v>0</v>
      </c>
      <c r="I49" s="202">
        <v>0</v>
      </c>
      <c r="J49" s="202">
        <v>0</v>
      </c>
      <c r="K49" s="40">
        <v>0</v>
      </c>
      <c r="L49" s="40">
        <v>0</v>
      </c>
      <c r="M49" s="203">
        <v>0</v>
      </c>
      <c r="N49" s="203">
        <v>0</v>
      </c>
      <c r="O49" s="40">
        <v>0</v>
      </c>
      <c r="P49" s="40">
        <v>0</v>
      </c>
      <c r="Q49" s="202">
        <v>0</v>
      </c>
      <c r="R49" s="202">
        <v>0</v>
      </c>
      <c r="S49" s="40">
        <v>0</v>
      </c>
      <c r="T49" s="40">
        <v>0</v>
      </c>
      <c r="U49" s="202">
        <v>0</v>
      </c>
      <c r="V49" s="203">
        <v>0</v>
      </c>
      <c r="W49" s="40">
        <v>0</v>
      </c>
      <c r="X49" s="40">
        <v>0</v>
      </c>
      <c r="Y49" s="203">
        <v>0</v>
      </c>
      <c r="Z49" s="203">
        <v>0</v>
      </c>
      <c r="AA49" s="40">
        <v>0</v>
      </c>
      <c r="AB49" s="40">
        <v>0</v>
      </c>
    </row>
    <row r="50" spans="1:28" ht="15.75" customHeight="1">
      <c r="A50" s="145"/>
      <c r="B50" s="145"/>
      <c r="C50" s="237" t="s">
        <v>385</v>
      </c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147"/>
      <c r="R50" s="147"/>
      <c r="S50" s="147"/>
      <c r="T50" s="147"/>
      <c r="U50" s="147"/>
      <c r="V50" s="147"/>
      <c r="W50" s="147"/>
      <c r="X50" s="147"/>
      <c r="Y50" s="146"/>
      <c r="Z50" s="146"/>
      <c r="AA50" s="146"/>
      <c r="AB50" s="146"/>
    </row>
    <row r="51" spans="1:28" ht="15" customHeight="1">
      <c r="A51" s="43"/>
      <c r="B51" s="43"/>
      <c r="C51" s="232" t="s">
        <v>384</v>
      </c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151"/>
      <c r="R51" s="151"/>
      <c r="S51" s="151"/>
      <c r="T51" s="151"/>
      <c r="U51" s="116"/>
      <c r="V51" s="116"/>
      <c r="W51" s="116"/>
      <c r="X51" s="116"/>
      <c r="Y51" s="34"/>
      <c r="Z51" s="34"/>
      <c r="AA51" s="34"/>
      <c r="AB51" s="34"/>
    </row>
    <row r="52" spans="1:28">
      <c r="A52" s="43"/>
      <c r="B52" s="43"/>
      <c r="C52" s="19" t="s">
        <v>47</v>
      </c>
      <c r="D52" s="34"/>
      <c r="E52" s="34"/>
      <c r="F52" s="34"/>
      <c r="G52" s="34"/>
      <c r="H52" s="34"/>
      <c r="I52" s="34"/>
      <c r="J52" s="34"/>
      <c r="K52" s="179" t="s">
        <v>491</v>
      </c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</row>
    <row r="53" spans="1:28">
      <c r="A53" s="43"/>
      <c r="B53" s="43"/>
      <c r="C53" s="95" t="s">
        <v>48</v>
      </c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</row>
    <row r="54" spans="1:28" ht="45">
      <c r="C54" s="153" t="s">
        <v>485</v>
      </c>
      <c r="L54" s="154"/>
      <c r="P54" s="154"/>
      <c r="T54" s="155"/>
      <c r="X54" s="154"/>
      <c r="AB54" s="154"/>
    </row>
  </sheetData>
  <mergeCells count="18">
    <mergeCell ref="C51:P51"/>
    <mergeCell ref="A5:A7"/>
    <mergeCell ref="AA4:AB4"/>
    <mergeCell ref="B5:B7"/>
    <mergeCell ref="C5:C7"/>
    <mergeCell ref="D5:D7"/>
    <mergeCell ref="U6:X6"/>
    <mergeCell ref="C50:P50"/>
    <mergeCell ref="E5:H6"/>
    <mergeCell ref="I5:L6"/>
    <mergeCell ref="M5:P6"/>
    <mergeCell ref="Q5:T6"/>
    <mergeCell ref="U5:AB5"/>
    <mergeCell ref="X1:AB1"/>
    <mergeCell ref="D2:AB2"/>
    <mergeCell ref="D3:AB3"/>
    <mergeCell ref="D4:Z4"/>
    <mergeCell ref="Y6:AB6"/>
  </mergeCells>
  <conditionalFormatting sqref="D3">
    <cfRule type="cellIs" dxfId="11" priority="4" operator="equal">
      <formula>0</formula>
    </cfRule>
  </conditionalFormatting>
  <conditionalFormatting sqref="C1">
    <cfRule type="containsText" dxfId="10" priority="2" operator="containsText" text="Для корек">
      <formula>NOT(ISERROR(SEARCH("Для корек",C1)))</formula>
    </cfRule>
  </conditionalFormatting>
  <pageMargins left="0.25" right="0.29166666666666669" top="0.22916666666666666" bottom="0.22916666666666666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W60"/>
  <sheetViews>
    <sheetView view="pageBreakPreview" zoomScaleSheetLayoutView="100" workbookViewId="0">
      <pane xSplit="3" ySplit="9" topLeftCell="G10" activePane="bottomRight" state="frozen"/>
      <selection activeCell="E13" sqref="E13"/>
      <selection pane="topRight" activeCell="E13" sqref="E13"/>
      <selection pane="bottomLeft" activeCell="E13" sqref="E13"/>
      <selection pane="bottomRight" activeCell="O11" sqref="O11"/>
    </sheetView>
  </sheetViews>
  <sheetFormatPr defaultRowHeight="15"/>
  <cols>
    <col min="1" max="1" width="5.42578125" style="17" customWidth="1"/>
    <col min="2" max="2" width="57" style="18" customWidth="1"/>
    <col min="3" max="3" width="7.5703125" style="18" customWidth="1"/>
    <col min="4" max="8" width="10.140625" style="18" customWidth="1"/>
    <col min="9" max="9" width="7.7109375" style="18" customWidth="1"/>
    <col min="10" max="10" width="10.28515625" style="18" customWidth="1"/>
    <col min="11" max="11" width="7.7109375" style="18" customWidth="1"/>
    <col min="12" max="12" width="10.140625" style="18" customWidth="1"/>
    <col min="13" max="15" width="7.7109375" style="18" customWidth="1"/>
    <col min="16" max="16" width="11" style="18" customWidth="1"/>
    <col min="17" max="19" width="7.7109375" style="18" customWidth="1"/>
    <col min="20" max="20" width="10.42578125" style="18" customWidth="1"/>
    <col min="21" max="23" width="9.140625" style="18" customWidth="1"/>
    <col min="24" max="16384" width="9.140625" style="18"/>
  </cols>
  <sheetData>
    <row r="1" spans="1:23" ht="77.25" customHeight="1">
      <c r="A1" s="43"/>
      <c r="B1" s="73"/>
      <c r="C1" s="34"/>
      <c r="D1" s="226" t="s">
        <v>426</v>
      </c>
      <c r="E1" s="250"/>
      <c r="F1" s="250"/>
      <c r="G1" s="250"/>
      <c r="H1" s="34"/>
      <c r="I1" s="34"/>
      <c r="J1" s="34"/>
      <c r="K1" s="34"/>
      <c r="L1" s="34"/>
      <c r="M1" s="34"/>
      <c r="N1" s="34"/>
      <c r="O1" s="34"/>
      <c r="P1" s="148" t="s">
        <v>336</v>
      </c>
      <c r="Q1" s="34"/>
      <c r="R1" s="34"/>
      <c r="S1" s="34"/>
      <c r="T1" s="34"/>
      <c r="U1" s="34"/>
      <c r="V1" s="34"/>
      <c r="W1" s="34"/>
    </row>
    <row r="2" spans="1:23" ht="24" customHeight="1">
      <c r="A2" s="43"/>
      <c r="B2" s="227" t="s">
        <v>114</v>
      </c>
      <c r="C2" s="227"/>
      <c r="D2" s="227"/>
      <c r="E2" s="227"/>
      <c r="F2" s="227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>
      <c r="A3" s="43"/>
      <c r="B3" s="251" t="s">
        <v>490</v>
      </c>
      <c r="C3" s="252"/>
      <c r="D3" s="252"/>
      <c r="E3" s="252"/>
      <c r="F3" s="252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>
      <c r="A4" s="43"/>
      <c r="B4" s="253" t="s">
        <v>50</v>
      </c>
      <c r="C4" s="253"/>
      <c r="D4" s="253"/>
      <c r="E4" s="253"/>
      <c r="F4" s="253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3">
      <c r="A5" s="43"/>
      <c r="B5" s="34"/>
      <c r="C5" s="34"/>
      <c r="D5" s="34"/>
      <c r="E5" s="34"/>
      <c r="F5" s="254" t="s">
        <v>51</v>
      </c>
      <c r="G5" s="25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ht="26.25" customHeight="1">
      <c r="A6" s="255" t="s">
        <v>10</v>
      </c>
      <c r="B6" s="258" t="s">
        <v>11</v>
      </c>
      <c r="C6" s="246" t="s">
        <v>52</v>
      </c>
      <c r="D6" s="231" t="s">
        <v>115</v>
      </c>
      <c r="E6" s="231"/>
      <c r="F6" s="231"/>
      <c r="G6" s="231"/>
      <c r="H6" s="231" t="s">
        <v>209</v>
      </c>
      <c r="I6" s="231"/>
      <c r="J6" s="231"/>
      <c r="K6" s="231"/>
      <c r="L6" s="231" t="s">
        <v>336</v>
      </c>
      <c r="M6" s="231"/>
      <c r="N6" s="231"/>
      <c r="O6" s="231"/>
      <c r="P6" s="231" t="s">
        <v>210</v>
      </c>
      <c r="Q6" s="231"/>
      <c r="R6" s="231"/>
      <c r="S6" s="231"/>
      <c r="T6" s="231" t="s">
        <v>211</v>
      </c>
      <c r="U6" s="231"/>
      <c r="V6" s="231"/>
      <c r="W6" s="231"/>
    </row>
    <row r="7" spans="1:23" ht="14.25" customHeight="1">
      <c r="A7" s="256"/>
      <c r="B7" s="259"/>
      <c r="C7" s="261"/>
      <c r="D7" s="246" t="s">
        <v>480</v>
      </c>
      <c r="E7" s="246" t="s">
        <v>481</v>
      </c>
      <c r="F7" s="246" t="s">
        <v>116</v>
      </c>
      <c r="G7" s="246" t="s">
        <v>482</v>
      </c>
      <c r="H7" s="246" t="s">
        <v>480</v>
      </c>
      <c r="I7" s="246" t="s">
        <v>481</v>
      </c>
      <c r="J7" s="246" t="s">
        <v>116</v>
      </c>
      <c r="K7" s="246" t="s">
        <v>482</v>
      </c>
      <c r="L7" s="246" t="s">
        <v>480</v>
      </c>
      <c r="M7" s="246" t="s">
        <v>481</v>
      </c>
      <c r="N7" s="246" t="s">
        <v>116</v>
      </c>
      <c r="O7" s="246" t="s">
        <v>482</v>
      </c>
      <c r="P7" s="246" t="s">
        <v>480</v>
      </c>
      <c r="Q7" s="246" t="s">
        <v>481</v>
      </c>
      <c r="R7" s="246" t="s">
        <v>116</v>
      </c>
      <c r="S7" s="246" t="s">
        <v>482</v>
      </c>
      <c r="T7" s="246" t="s">
        <v>480</v>
      </c>
      <c r="U7" s="246" t="s">
        <v>481</v>
      </c>
      <c r="V7" s="246" t="s">
        <v>116</v>
      </c>
      <c r="W7" s="246" t="s">
        <v>482</v>
      </c>
    </row>
    <row r="8" spans="1:23" ht="30.75" customHeight="1">
      <c r="A8" s="257"/>
      <c r="B8" s="260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</row>
    <row r="9" spans="1:23" ht="12" customHeight="1">
      <c r="A9" s="89">
        <v>1</v>
      </c>
      <c r="B9" s="88">
        <v>2</v>
      </c>
      <c r="C9" s="88">
        <v>3</v>
      </c>
      <c r="D9" s="88">
        <v>4</v>
      </c>
      <c r="E9" s="88">
        <v>5</v>
      </c>
      <c r="F9" s="88">
        <v>6</v>
      </c>
      <c r="G9" s="88">
        <v>7</v>
      </c>
      <c r="H9" s="88">
        <v>8</v>
      </c>
      <c r="I9" s="88">
        <v>9</v>
      </c>
      <c r="J9" s="88">
        <v>10</v>
      </c>
      <c r="K9" s="88">
        <v>11</v>
      </c>
      <c r="L9" s="88">
        <v>12</v>
      </c>
      <c r="M9" s="88">
        <v>13</v>
      </c>
      <c r="N9" s="88">
        <v>14</v>
      </c>
      <c r="O9" s="88">
        <v>15</v>
      </c>
      <c r="P9" s="112">
        <v>16</v>
      </c>
      <c r="Q9" s="112">
        <v>17</v>
      </c>
      <c r="R9" s="112">
        <v>18</v>
      </c>
      <c r="S9" s="112">
        <v>19</v>
      </c>
      <c r="T9" s="112">
        <v>20</v>
      </c>
      <c r="U9" s="112">
        <v>21</v>
      </c>
      <c r="V9" s="112">
        <v>22</v>
      </c>
      <c r="W9" s="112">
        <v>23</v>
      </c>
    </row>
    <row r="10" spans="1:23" ht="12" customHeight="1">
      <c r="A10" s="96">
        <v>1</v>
      </c>
      <c r="B10" s="97" t="s">
        <v>117</v>
      </c>
      <c r="C10" s="88" t="s">
        <v>58</v>
      </c>
      <c r="D10" s="207">
        <f t="shared" ref="D10:E25" si="0">H10+P10+T10+L10</f>
        <v>14413.58</v>
      </c>
      <c r="E10" s="207">
        <f t="shared" si="0"/>
        <v>13255.83</v>
      </c>
      <c r="F10" s="27">
        <f>J10+R10+V10+N10</f>
        <v>16019.5425</v>
      </c>
      <c r="G10" s="27">
        <f>K10+S10+W10+O10</f>
        <v>18162.881171302703</v>
      </c>
      <c r="H10" s="207">
        <f>H11+H16+H17+H21</f>
        <v>13168.12</v>
      </c>
      <c r="I10" s="207">
        <f t="shared" ref="I10" si="1">I11+I16+I17+I21</f>
        <v>11885.380000000001</v>
      </c>
      <c r="J10" s="27">
        <f>J11+J16+J17+J21</f>
        <v>14045.755599999999</v>
      </c>
      <c r="K10" s="27">
        <f>K11+K16+K17+K21</f>
        <v>15939.193912565701</v>
      </c>
      <c r="L10" s="207">
        <f t="shared" ref="L10:M10" si="2">L11+L16+L17+L21</f>
        <v>5.6899999999999995</v>
      </c>
      <c r="M10" s="207">
        <f t="shared" si="2"/>
        <v>5.0699999999999994</v>
      </c>
      <c r="N10" s="27">
        <f>N11+N16+N17+N21</f>
        <v>49.650400000000005</v>
      </c>
      <c r="O10" s="27">
        <f>O11+O21</f>
        <v>55.934243729999992</v>
      </c>
      <c r="P10" s="207">
        <f t="shared" ref="P10:Q10" si="3">P11+P16+P17+P21</f>
        <v>853.89</v>
      </c>
      <c r="Q10" s="207">
        <f t="shared" si="3"/>
        <v>938.55</v>
      </c>
      <c r="R10" s="27">
        <f>R11+R16+R17+R21</f>
        <v>1263.2692</v>
      </c>
      <c r="S10" s="27">
        <f>S11+S16+S17+S21</f>
        <v>1423.2213508280004</v>
      </c>
      <c r="T10" s="207">
        <f t="shared" ref="T10:U10" si="4">T11+T16+T17+T21</f>
        <v>385.88</v>
      </c>
      <c r="U10" s="207">
        <f t="shared" si="4"/>
        <v>426.83</v>
      </c>
      <c r="V10" s="27">
        <f>V11+V16+V17+V21</f>
        <v>660.8673</v>
      </c>
      <c r="W10" s="27">
        <f>W11+W16+W17+W21</f>
        <v>744.53166417900002</v>
      </c>
    </row>
    <row r="11" spans="1:23" ht="12" customHeight="1">
      <c r="A11" s="96" t="s">
        <v>28</v>
      </c>
      <c r="B11" s="97" t="s">
        <v>118</v>
      </c>
      <c r="C11" s="88" t="s">
        <v>58</v>
      </c>
      <c r="D11" s="207">
        <f t="shared" si="0"/>
        <v>2801.8499999999995</v>
      </c>
      <c r="E11" s="207">
        <f t="shared" si="0"/>
        <v>2763.9900000000002</v>
      </c>
      <c r="F11" s="27">
        <f t="shared" ref="F11:G56" si="5">J11+R11+V11+N11</f>
        <v>2307.3800000000006</v>
      </c>
      <c r="G11" s="27">
        <f t="shared" si="5"/>
        <v>2665.6931937535001</v>
      </c>
      <c r="H11" s="207">
        <f>SUM(H12:H15)</f>
        <v>2559.8199999999997</v>
      </c>
      <c r="I11" s="207">
        <f t="shared" ref="I11" si="6">SUM(I12:I15)</f>
        <v>2478.92</v>
      </c>
      <c r="J11" s="27">
        <f>SUM(J12:J15)</f>
        <v>2012.38</v>
      </c>
      <c r="K11" s="27">
        <f>SUM(K12:K15)</f>
        <v>2297.4424931825001</v>
      </c>
      <c r="L11" s="207">
        <f t="shared" ref="L11:M11" si="7">SUM(L12:L15)</f>
        <v>1.1000000000000001</v>
      </c>
      <c r="M11" s="207">
        <f t="shared" si="7"/>
        <v>1.0899999999999999</v>
      </c>
      <c r="N11" s="27">
        <f>SUM(N12:N15)</f>
        <v>7.42</v>
      </c>
      <c r="O11" s="27">
        <f>O12+O16+O14+O17</f>
        <v>55.814112229999992</v>
      </c>
      <c r="P11" s="207">
        <f t="shared" ref="P11:Q11" si="8">SUM(P12:P15)</f>
        <v>165.95</v>
      </c>
      <c r="Q11" s="207">
        <f t="shared" si="8"/>
        <v>196.03</v>
      </c>
      <c r="R11" s="27">
        <f>SUM(R12:R15)</f>
        <v>188.79999999999998</v>
      </c>
      <c r="S11" s="27">
        <f>SUM(S12:S15)</f>
        <v>205.13288291999999</v>
      </c>
      <c r="T11" s="207">
        <f t="shared" ref="T11:U11" si="9">SUM(T12:T15)</f>
        <v>74.98</v>
      </c>
      <c r="U11" s="207">
        <f t="shared" si="9"/>
        <v>87.95</v>
      </c>
      <c r="V11" s="27">
        <f>SUM(V12:V15)</f>
        <v>98.78</v>
      </c>
      <c r="W11" s="27">
        <f>SUM(W12:W15)</f>
        <v>107.30370542100002</v>
      </c>
    </row>
    <row r="12" spans="1:23" ht="12" customHeight="1">
      <c r="A12" s="96" t="s">
        <v>60</v>
      </c>
      <c r="B12" s="97" t="s">
        <v>63</v>
      </c>
      <c r="C12" s="88" t="s">
        <v>58</v>
      </c>
      <c r="D12" s="207">
        <f t="shared" si="0"/>
        <v>1375.54</v>
      </c>
      <c r="E12" s="207">
        <f t="shared" si="0"/>
        <v>1215.19</v>
      </c>
      <c r="F12" s="27">
        <f t="shared" si="5"/>
        <v>2083.1800000000003</v>
      </c>
      <c r="G12" s="27">
        <f t="shared" si="5"/>
        <v>2086.0837132535003</v>
      </c>
      <c r="H12" s="208">
        <v>1256.67</v>
      </c>
      <c r="I12" s="208">
        <v>1090.02</v>
      </c>
      <c r="J12" s="20">
        <v>1815.63</v>
      </c>
      <c r="K12" s="20">
        <f>1815.63*0.978925*1.03</f>
        <v>1830.6865656825003</v>
      </c>
      <c r="L12" s="208">
        <v>0.54</v>
      </c>
      <c r="M12" s="208">
        <v>0.49</v>
      </c>
      <c r="N12" s="20">
        <v>6.73</v>
      </c>
      <c r="O12" s="20">
        <f>6.73*0.9267*1.03</f>
        <v>6.4237917300000005</v>
      </c>
      <c r="P12" s="208">
        <v>81.5</v>
      </c>
      <c r="Q12" s="208">
        <v>86.28</v>
      </c>
      <c r="R12" s="20">
        <v>171.23</v>
      </c>
      <c r="S12" s="20">
        <f>171.23*0.9268*1.03</f>
        <v>163.45684291999999</v>
      </c>
      <c r="T12" s="208">
        <v>36.83</v>
      </c>
      <c r="U12" s="208">
        <v>38.4</v>
      </c>
      <c r="V12" s="20">
        <v>89.59</v>
      </c>
      <c r="W12" s="20">
        <f>89.59*0.92673*1.03</f>
        <v>85.516512921000015</v>
      </c>
    </row>
    <row r="13" spans="1:23" ht="12" customHeight="1">
      <c r="A13" s="96" t="s">
        <v>62</v>
      </c>
      <c r="B13" s="97" t="s">
        <v>119</v>
      </c>
      <c r="C13" s="88" t="s">
        <v>58</v>
      </c>
      <c r="D13" s="207">
        <f t="shared" si="0"/>
        <v>0</v>
      </c>
      <c r="E13" s="207">
        <f t="shared" si="0"/>
        <v>0</v>
      </c>
      <c r="F13" s="27">
        <f t="shared" si="5"/>
        <v>0</v>
      </c>
      <c r="G13" s="27">
        <f t="shared" si="5"/>
        <v>0</v>
      </c>
      <c r="H13" s="209"/>
      <c r="I13" s="209"/>
      <c r="J13" s="20">
        <v>0</v>
      </c>
      <c r="K13" s="20">
        <v>0</v>
      </c>
      <c r="L13" s="209"/>
      <c r="M13" s="209"/>
      <c r="N13" s="20">
        <v>0</v>
      </c>
      <c r="O13" s="20">
        <v>0</v>
      </c>
      <c r="P13" s="209"/>
      <c r="Q13" s="209"/>
      <c r="R13" s="20">
        <v>0</v>
      </c>
      <c r="S13" s="20">
        <v>0</v>
      </c>
      <c r="T13" s="209"/>
      <c r="U13" s="209"/>
      <c r="V13" s="20">
        <v>0</v>
      </c>
      <c r="W13" s="20">
        <v>0</v>
      </c>
    </row>
    <row r="14" spans="1:23" ht="12" customHeight="1">
      <c r="A14" s="96" t="s">
        <v>64</v>
      </c>
      <c r="B14" s="97" t="s">
        <v>120</v>
      </c>
      <c r="C14" s="88" t="s">
        <v>58</v>
      </c>
      <c r="D14" s="207">
        <f t="shared" si="0"/>
        <v>312.05</v>
      </c>
      <c r="E14" s="207">
        <f t="shared" si="0"/>
        <v>331.73</v>
      </c>
      <c r="F14" s="27">
        <f t="shared" si="5"/>
        <v>224.2</v>
      </c>
      <c r="G14" s="27">
        <f t="shared" si="5"/>
        <v>531.85494299999993</v>
      </c>
      <c r="H14" s="208">
        <v>285.08999999999997</v>
      </c>
      <c r="I14" s="208">
        <v>297.45</v>
      </c>
      <c r="J14" s="20">
        <v>196.75</v>
      </c>
      <c r="K14" s="20">
        <f>196.75*2.37233</f>
        <v>466.75592749999998</v>
      </c>
      <c r="L14" s="208">
        <v>0.12</v>
      </c>
      <c r="M14" s="208">
        <v>0.13</v>
      </c>
      <c r="N14" s="20">
        <v>0.69</v>
      </c>
      <c r="O14" s="20">
        <f>0.69*2.3707</f>
        <v>1.6357829999999998</v>
      </c>
      <c r="P14" s="208">
        <v>18.489999999999998</v>
      </c>
      <c r="Q14" s="208">
        <v>23.49</v>
      </c>
      <c r="R14" s="20">
        <v>17.57</v>
      </c>
      <c r="S14" s="20">
        <f>17.57*2.372</f>
        <v>41.67604</v>
      </c>
      <c r="T14" s="208">
        <v>8.35</v>
      </c>
      <c r="U14" s="208">
        <v>10.66</v>
      </c>
      <c r="V14" s="20">
        <v>9.19</v>
      </c>
      <c r="W14" s="20">
        <f>9.19*2.37075</f>
        <v>21.7871925</v>
      </c>
    </row>
    <row r="15" spans="1:23" ht="12" customHeight="1">
      <c r="A15" s="96" t="s">
        <v>65</v>
      </c>
      <c r="B15" s="97" t="s">
        <v>68</v>
      </c>
      <c r="C15" s="88" t="s">
        <v>58</v>
      </c>
      <c r="D15" s="207">
        <f t="shared" si="0"/>
        <v>1114.26</v>
      </c>
      <c r="E15" s="207">
        <f t="shared" si="0"/>
        <v>1217.0700000000002</v>
      </c>
      <c r="F15" s="27">
        <f t="shared" si="5"/>
        <v>0</v>
      </c>
      <c r="G15" s="27">
        <f t="shared" si="5"/>
        <v>0</v>
      </c>
      <c r="H15" s="208">
        <v>1018.06</v>
      </c>
      <c r="I15" s="208">
        <v>1091.45</v>
      </c>
      <c r="J15" s="20">
        <v>0</v>
      </c>
      <c r="K15" s="20">
        <v>0</v>
      </c>
      <c r="L15" s="208">
        <v>0.44</v>
      </c>
      <c r="M15" s="208">
        <v>0.47</v>
      </c>
      <c r="N15" s="20">
        <v>0</v>
      </c>
      <c r="O15" s="20">
        <v>0</v>
      </c>
      <c r="P15" s="208">
        <v>65.959999999999994</v>
      </c>
      <c r="Q15" s="208">
        <v>86.26</v>
      </c>
      <c r="R15" s="20">
        <v>0</v>
      </c>
      <c r="S15" s="20">
        <v>0</v>
      </c>
      <c r="T15" s="208">
        <v>29.8</v>
      </c>
      <c r="U15" s="208">
        <v>38.89</v>
      </c>
      <c r="V15" s="20">
        <v>0</v>
      </c>
      <c r="W15" s="20">
        <v>0</v>
      </c>
    </row>
    <row r="16" spans="1:23" ht="12" customHeight="1">
      <c r="A16" s="96" t="s">
        <v>30</v>
      </c>
      <c r="B16" s="97" t="s">
        <v>121</v>
      </c>
      <c r="C16" s="88" t="s">
        <v>58</v>
      </c>
      <c r="D16" s="207">
        <f t="shared" si="0"/>
        <v>5916.29</v>
      </c>
      <c r="E16" s="207">
        <f t="shared" si="0"/>
        <v>5757.6799999999994</v>
      </c>
      <c r="F16" s="27">
        <f t="shared" si="5"/>
        <v>8685.2749999999996</v>
      </c>
      <c r="G16" s="27">
        <f t="shared" si="5"/>
        <v>10183.611875259998</v>
      </c>
      <c r="H16" s="208">
        <v>5405.03</v>
      </c>
      <c r="I16" s="208">
        <v>5162.71</v>
      </c>
      <c r="J16" s="20">
        <v>7621.92</v>
      </c>
      <c r="K16" s="20">
        <f>7621.92*1.172513</f>
        <v>8936.8002849599998</v>
      </c>
      <c r="L16" s="208">
        <v>2.34</v>
      </c>
      <c r="M16" s="208">
        <v>2.2000000000000002</v>
      </c>
      <c r="N16" s="20">
        <v>26.75</v>
      </c>
      <c r="O16" s="20">
        <f>26.75*1.1725</f>
        <v>31.364375000000003</v>
      </c>
      <c r="P16" s="208">
        <v>350.53</v>
      </c>
      <c r="Q16" s="208">
        <v>407.66</v>
      </c>
      <c r="R16" s="20">
        <v>680.57</v>
      </c>
      <c r="S16" s="20">
        <f>680.57*1.17252</f>
        <v>797.98193640000011</v>
      </c>
      <c r="T16" s="208">
        <v>158.38999999999999</v>
      </c>
      <c r="U16" s="208">
        <v>185.11</v>
      </c>
      <c r="V16" s="20">
        <v>356.03500000000003</v>
      </c>
      <c r="W16" s="20">
        <f>356.035*1.17254</f>
        <v>417.46527889999999</v>
      </c>
    </row>
    <row r="17" spans="1:23" ht="12" customHeight="1">
      <c r="A17" s="96" t="s">
        <v>70</v>
      </c>
      <c r="B17" s="97" t="s">
        <v>122</v>
      </c>
      <c r="C17" s="88" t="s">
        <v>58</v>
      </c>
      <c r="D17" s="207">
        <f t="shared" si="0"/>
        <v>5634.1399999999994</v>
      </c>
      <c r="E17" s="207">
        <f>I17+Q17+U17+M17</f>
        <v>4673.8900000000003</v>
      </c>
      <c r="F17" s="27">
        <f t="shared" si="5"/>
        <v>4992.8804999999993</v>
      </c>
      <c r="G17" s="27">
        <f t="shared" si="5"/>
        <v>5322.5146125572001</v>
      </c>
      <c r="H17" s="207">
        <f t="shared" ref="H17:I17" si="10">SUM(H18:H20)</f>
        <v>5147.26</v>
      </c>
      <c r="I17" s="207">
        <f t="shared" si="10"/>
        <v>4189.71</v>
      </c>
      <c r="J17" s="27">
        <f>SUM(J18:J20)</f>
        <v>4381.6023999999998</v>
      </c>
      <c r="K17" s="27">
        <f>SUM(K18:K20)</f>
        <v>4670.8760626911999</v>
      </c>
      <c r="L17" s="207">
        <f t="shared" ref="L17:M17" si="11">SUM(L18:L20)</f>
        <v>2.23</v>
      </c>
      <c r="M17" s="207">
        <f t="shared" si="11"/>
        <v>1.76</v>
      </c>
      <c r="N17" s="27">
        <f>SUM(N18:N20)</f>
        <v>15.375</v>
      </c>
      <c r="O17" s="27">
        <f>SUM(O18:O20)</f>
        <v>16.390162499999999</v>
      </c>
      <c r="P17" s="207">
        <f t="shared" ref="P17:Q17" si="12">SUM(P18:P20)</f>
        <v>333.78</v>
      </c>
      <c r="Q17" s="207">
        <f t="shared" si="12"/>
        <v>330.59</v>
      </c>
      <c r="R17" s="27">
        <f>SUM(R18:R20)</f>
        <v>391.23539999999997</v>
      </c>
      <c r="S17" s="27">
        <f>SUM(S18:S20)</f>
        <v>417.06602600800005</v>
      </c>
      <c r="T17" s="207">
        <f t="shared" ref="T17:U17" si="13">SUM(T18:T20)</f>
        <v>150.87</v>
      </c>
      <c r="U17" s="207">
        <f t="shared" si="13"/>
        <v>151.82999999999998</v>
      </c>
      <c r="V17" s="27">
        <f>SUM(V18:V20)</f>
        <v>204.6677</v>
      </c>
      <c r="W17" s="27">
        <f>SUM(W18:W20)</f>
        <v>218.18236135800001</v>
      </c>
    </row>
    <row r="18" spans="1:23" ht="12" customHeight="1">
      <c r="A18" s="96" t="s">
        <v>72</v>
      </c>
      <c r="B18" s="97" t="s">
        <v>83</v>
      </c>
      <c r="C18" s="88" t="s">
        <v>58</v>
      </c>
      <c r="D18" s="207">
        <f t="shared" si="0"/>
        <v>2140.19</v>
      </c>
      <c r="E18" s="207">
        <f t="shared" si="0"/>
        <v>1181.67</v>
      </c>
      <c r="F18" s="27">
        <f t="shared" si="5"/>
        <v>1910.7605000000001</v>
      </c>
      <c r="G18" s="27">
        <f t="shared" si="5"/>
        <v>2240.3946125571997</v>
      </c>
      <c r="H18" s="208">
        <v>1955.24</v>
      </c>
      <c r="I18" s="208">
        <v>1059.56</v>
      </c>
      <c r="J18" s="20">
        <f>J16*0.22</f>
        <v>1676.8224</v>
      </c>
      <c r="K18" s="20">
        <f>K16*0.22</f>
        <v>1966.0960626911999</v>
      </c>
      <c r="L18" s="208">
        <v>0.85</v>
      </c>
      <c r="M18" s="208">
        <v>0.45</v>
      </c>
      <c r="N18" s="20">
        <f>N16*0.22</f>
        <v>5.8849999999999998</v>
      </c>
      <c r="O18" s="20">
        <f>O16*0.22</f>
        <v>6.9001625000000004</v>
      </c>
      <c r="P18" s="208">
        <v>126.8</v>
      </c>
      <c r="Q18" s="208">
        <v>83.67</v>
      </c>
      <c r="R18" s="20">
        <f>R16*0.22</f>
        <v>149.72540000000001</v>
      </c>
      <c r="S18" s="20">
        <f>S16*0.22</f>
        <v>175.55602600800003</v>
      </c>
      <c r="T18" s="208">
        <v>57.3</v>
      </c>
      <c r="U18" s="208">
        <v>37.99</v>
      </c>
      <c r="V18" s="20">
        <f>V16*0.22</f>
        <v>78.327700000000007</v>
      </c>
      <c r="W18" s="20">
        <f>W16*0.22</f>
        <v>91.842361357999991</v>
      </c>
    </row>
    <row r="19" spans="1:23" ht="12" customHeight="1">
      <c r="A19" s="96" t="s">
        <v>74</v>
      </c>
      <c r="B19" s="97" t="s">
        <v>123</v>
      </c>
      <c r="C19" s="88" t="s">
        <v>58</v>
      </c>
      <c r="D19" s="207">
        <f t="shared" si="0"/>
        <v>2752.4300000000003</v>
      </c>
      <c r="E19" s="207">
        <f t="shared" si="0"/>
        <v>2788.28</v>
      </c>
      <c r="F19" s="27">
        <f t="shared" si="5"/>
        <v>2084.29</v>
      </c>
      <c r="G19" s="27">
        <f t="shared" si="5"/>
        <v>2084.29</v>
      </c>
      <c r="H19" s="208">
        <v>2514.5700000000002</v>
      </c>
      <c r="I19" s="208">
        <v>2500.15</v>
      </c>
      <c r="J19" s="20">
        <v>1829.11</v>
      </c>
      <c r="K19" s="20">
        <v>1829.11</v>
      </c>
      <c r="L19" s="208">
        <v>1.0900000000000001</v>
      </c>
      <c r="M19" s="208">
        <v>1.07</v>
      </c>
      <c r="N19" s="20">
        <v>6.42</v>
      </c>
      <c r="O19" s="20">
        <v>6.42</v>
      </c>
      <c r="P19" s="208">
        <v>163.08000000000001</v>
      </c>
      <c r="Q19" s="208">
        <v>197.42</v>
      </c>
      <c r="R19" s="20">
        <v>163.32</v>
      </c>
      <c r="S19" s="20">
        <v>163.32</v>
      </c>
      <c r="T19" s="208">
        <v>73.69</v>
      </c>
      <c r="U19" s="208">
        <v>89.64</v>
      </c>
      <c r="V19" s="20">
        <v>85.44</v>
      </c>
      <c r="W19" s="20">
        <v>85.44</v>
      </c>
    </row>
    <row r="20" spans="1:23" ht="12" customHeight="1">
      <c r="A20" s="96" t="s">
        <v>76</v>
      </c>
      <c r="B20" s="97" t="s">
        <v>124</v>
      </c>
      <c r="C20" s="88" t="s">
        <v>58</v>
      </c>
      <c r="D20" s="207">
        <f t="shared" si="0"/>
        <v>741.52</v>
      </c>
      <c r="E20" s="207">
        <f t="shared" si="0"/>
        <v>703.94</v>
      </c>
      <c r="F20" s="27">
        <f t="shared" si="5"/>
        <v>997.82999999999993</v>
      </c>
      <c r="G20" s="27">
        <f t="shared" si="5"/>
        <v>997.82999999999993</v>
      </c>
      <c r="H20" s="208">
        <v>677.45</v>
      </c>
      <c r="I20" s="208">
        <v>630</v>
      </c>
      <c r="J20" s="20">
        <v>875.67</v>
      </c>
      <c r="K20" s="20">
        <v>875.67</v>
      </c>
      <c r="L20" s="208">
        <v>0.28999999999999998</v>
      </c>
      <c r="M20" s="208">
        <v>0.24</v>
      </c>
      <c r="N20" s="20">
        <v>3.07</v>
      </c>
      <c r="O20" s="20">
        <v>3.07</v>
      </c>
      <c r="P20" s="208">
        <v>43.9</v>
      </c>
      <c r="Q20" s="208">
        <v>49.5</v>
      </c>
      <c r="R20" s="20">
        <v>78.19</v>
      </c>
      <c r="S20" s="20">
        <v>78.19</v>
      </c>
      <c r="T20" s="208">
        <v>19.88</v>
      </c>
      <c r="U20" s="208">
        <v>24.2</v>
      </c>
      <c r="V20" s="20">
        <v>40.9</v>
      </c>
      <c r="W20" s="20">
        <v>40.9</v>
      </c>
    </row>
    <row r="21" spans="1:23" ht="12" customHeight="1">
      <c r="A21" s="96" t="s">
        <v>78</v>
      </c>
      <c r="B21" s="97" t="s">
        <v>125</v>
      </c>
      <c r="C21" s="88" t="s">
        <v>58</v>
      </c>
      <c r="D21" s="207">
        <f t="shared" si="0"/>
        <v>61.300000000000004</v>
      </c>
      <c r="E21" s="207">
        <f t="shared" si="0"/>
        <v>60.27</v>
      </c>
      <c r="F21" s="27">
        <f t="shared" si="5"/>
        <v>34.006999999999998</v>
      </c>
      <c r="G21" s="27">
        <f t="shared" si="5"/>
        <v>38.816027231999996</v>
      </c>
      <c r="H21" s="207">
        <f t="shared" ref="H21:I21" si="14">SUM(H22:H24)</f>
        <v>56.01</v>
      </c>
      <c r="I21" s="207">
        <f t="shared" si="14"/>
        <v>54.040000000000006</v>
      </c>
      <c r="J21" s="27">
        <f>SUM(J22:J24)</f>
        <v>29.853199999999998</v>
      </c>
      <c r="K21" s="27">
        <f>SUM(K22:K24)</f>
        <v>34.075071731999998</v>
      </c>
      <c r="L21" s="207">
        <f t="shared" ref="L21:M21" si="15">SUM(L22:L24)</f>
        <v>0.02</v>
      </c>
      <c r="M21" s="207">
        <f t="shared" si="15"/>
        <v>0.02</v>
      </c>
      <c r="N21" s="27">
        <f>SUM(N22:N24)</f>
        <v>0.10540000000000001</v>
      </c>
      <c r="O21" s="27">
        <f>SUM(O22:O24)</f>
        <v>0.12013150000000002</v>
      </c>
      <c r="P21" s="207">
        <f t="shared" ref="P21:Q21" si="16">SUM(P22:P24)</f>
        <v>3.63</v>
      </c>
      <c r="Q21" s="207">
        <f t="shared" si="16"/>
        <v>4.2699999999999996</v>
      </c>
      <c r="R21" s="27">
        <f>SUM(R22:R24)</f>
        <v>2.6638000000000002</v>
      </c>
      <c r="S21" s="27">
        <f>SUM(S22:S24)</f>
        <v>3.0405055000000005</v>
      </c>
      <c r="T21" s="207">
        <f t="shared" ref="T21:U21" si="17">SUM(T22:T24)</f>
        <v>1.6400000000000001</v>
      </c>
      <c r="U21" s="207">
        <f t="shared" si="17"/>
        <v>1.94</v>
      </c>
      <c r="V21" s="27">
        <f>SUM(V22:V24)</f>
        <v>1.3846000000000001</v>
      </c>
      <c r="W21" s="27">
        <f>SUM(W22:W24)</f>
        <v>1.5803185000000002</v>
      </c>
    </row>
    <row r="22" spans="1:23" ht="12" customHeight="1">
      <c r="A22" s="96" t="s">
        <v>80</v>
      </c>
      <c r="B22" s="97" t="s">
        <v>81</v>
      </c>
      <c r="C22" s="88" t="s">
        <v>58</v>
      </c>
      <c r="D22" s="207">
        <f t="shared" si="0"/>
        <v>29.980000000000004</v>
      </c>
      <c r="E22" s="207">
        <f t="shared" si="0"/>
        <v>28.01</v>
      </c>
      <c r="F22" s="27">
        <f t="shared" si="5"/>
        <v>22.849999999999998</v>
      </c>
      <c r="G22" s="27">
        <f t="shared" si="5"/>
        <v>26.791825599999996</v>
      </c>
      <c r="H22" s="208">
        <v>27.39</v>
      </c>
      <c r="I22" s="208">
        <v>25.12</v>
      </c>
      <c r="J22" s="20">
        <v>20.059999999999999</v>
      </c>
      <c r="K22" s="20">
        <f>20.06*1.17251</f>
        <v>23.520550599999996</v>
      </c>
      <c r="L22" s="208">
        <v>0.01</v>
      </c>
      <c r="M22" s="208">
        <v>0.01</v>
      </c>
      <c r="N22" s="20">
        <v>7.0000000000000007E-2</v>
      </c>
      <c r="O22" s="20">
        <f>0.07*1.1725</f>
        <v>8.2075000000000009E-2</v>
      </c>
      <c r="P22" s="208">
        <v>1.78</v>
      </c>
      <c r="Q22" s="208">
        <v>1.98</v>
      </c>
      <c r="R22" s="20">
        <v>1.79</v>
      </c>
      <c r="S22" s="20">
        <f>1.79*1.1725</f>
        <v>2.0987750000000003</v>
      </c>
      <c r="T22" s="208">
        <v>0.8</v>
      </c>
      <c r="U22" s="208">
        <v>0.9</v>
      </c>
      <c r="V22" s="20">
        <v>0.93</v>
      </c>
      <c r="W22" s="20">
        <f>0.93*1.1725</f>
        <v>1.0904250000000002</v>
      </c>
    </row>
    <row r="23" spans="1:23" ht="12" customHeight="1">
      <c r="A23" s="96" t="s">
        <v>82</v>
      </c>
      <c r="B23" s="97" t="s">
        <v>83</v>
      </c>
      <c r="C23" s="88" t="s">
        <v>58</v>
      </c>
      <c r="D23" s="207">
        <f t="shared" si="0"/>
        <v>9.75</v>
      </c>
      <c r="E23" s="207">
        <f t="shared" si="0"/>
        <v>5.47</v>
      </c>
      <c r="F23" s="27">
        <f t="shared" si="5"/>
        <v>5.0269999999999992</v>
      </c>
      <c r="G23" s="27">
        <f t="shared" si="5"/>
        <v>5.8942016319999988</v>
      </c>
      <c r="H23" s="208">
        <v>8.91</v>
      </c>
      <c r="I23" s="208">
        <v>4.9000000000000004</v>
      </c>
      <c r="J23" s="20">
        <f>J22*0.22</f>
        <v>4.4131999999999998</v>
      </c>
      <c r="K23" s="20">
        <f>K22*0.22</f>
        <v>5.1745211319999989</v>
      </c>
      <c r="L23" s="208">
        <v>0</v>
      </c>
      <c r="M23" s="208">
        <v>0</v>
      </c>
      <c r="N23" s="20">
        <f>N22*0.22</f>
        <v>1.5400000000000002E-2</v>
      </c>
      <c r="O23" s="20">
        <f>O22*0.22</f>
        <v>1.8056500000000003E-2</v>
      </c>
      <c r="P23" s="208">
        <v>0.57999999999999996</v>
      </c>
      <c r="Q23" s="208">
        <v>0.39</v>
      </c>
      <c r="R23" s="20">
        <f>R22*0.22</f>
        <v>0.39379999999999998</v>
      </c>
      <c r="S23" s="20">
        <f>S22*0.22</f>
        <v>0.46173050000000004</v>
      </c>
      <c r="T23" s="208">
        <v>0.26</v>
      </c>
      <c r="U23" s="208">
        <v>0.18</v>
      </c>
      <c r="V23" s="20">
        <f>V22*0.22</f>
        <v>0.2046</v>
      </c>
      <c r="W23" s="20">
        <f>W22*0.22</f>
        <v>0.23989350000000004</v>
      </c>
    </row>
    <row r="24" spans="1:23" ht="12" customHeight="1">
      <c r="A24" s="96" t="s">
        <v>84</v>
      </c>
      <c r="B24" s="97" t="s">
        <v>85</v>
      </c>
      <c r="C24" s="88" t="s">
        <v>58</v>
      </c>
      <c r="D24" s="207">
        <f t="shared" si="0"/>
        <v>21.57</v>
      </c>
      <c r="E24" s="207">
        <f t="shared" si="0"/>
        <v>26.79</v>
      </c>
      <c r="F24" s="27">
        <f t="shared" si="5"/>
        <v>6.129999999999999</v>
      </c>
      <c r="G24" s="27">
        <f t="shared" si="5"/>
        <v>6.129999999999999</v>
      </c>
      <c r="H24" s="208">
        <v>19.71</v>
      </c>
      <c r="I24" s="208">
        <v>24.02</v>
      </c>
      <c r="J24" s="20">
        <v>5.38</v>
      </c>
      <c r="K24" s="20">
        <v>5.38</v>
      </c>
      <c r="L24" s="208">
        <v>0.01</v>
      </c>
      <c r="M24" s="208">
        <v>0.01</v>
      </c>
      <c r="N24" s="20">
        <v>0.02</v>
      </c>
      <c r="O24" s="20">
        <v>0.02</v>
      </c>
      <c r="P24" s="208">
        <v>1.27</v>
      </c>
      <c r="Q24" s="208">
        <v>1.9</v>
      </c>
      <c r="R24" s="20">
        <v>0.48</v>
      </c>
      <c r="S24" s="20">
        <v>0.48</v>
      </c>
      <c r="T24" s="208">
        <v>0.57999999999999996</v>
      </c>
      <c r="U24" s="208">
        <v>0.86</v>
      </c>
      <c r="V24" s="20">
        <v>0.25</v>
      </c>
      <c r="W24" s="20">
        <v>0.25</v>
      </c>
    </row>
    <row r="25" spans="1:23" ht="12" customHeight="1">
      <c r="A25" s="96">
        <v>2</v>
      </c>
      <c r="B25" s="97" t="s">
        <v>126</v>
      </c>
      <c r="C25" s="88" t="s">
        <v>58</v>
      </c>
      <c r="D25" s="207">
        <f t="shared" si="0"/>
        <v>296.45</v>
      </c>
      <c r="E25" s="207">
        <f t="shared" si="0"/>
        <v>337.59999999999997</v>
      </c>
      <c r="F25" s="27">
        <f t="shared" si="5"/>
        <v>293.57940000000002</v>
      </c>
      <c r="G25" s="27">
        <f t="shared" si="5"/>
        <v>338.66105106000003</v>
      </c>
      <c r="H25" s="207">
        <f t="shared" ref="H25:I25" si="18">SUM(H26:H28)</f>
        <v>270.83</v>
      </c>
      <c r="I25" s="207">
        <f t="shared" si="18"/>
        <v>302.71999999999997</v>
      </c>
      <c r="J25" s="27">
        <f>SUM(J26:J28)</f>
        <v>257.6388</v>
      </c>
      <c r="K25" s="27">
        <f>SUM(K26:K28)</f>
        <v>297.20034756000001</v>
      </c>
      <c r="L25" s="207">
        <f t="shared" ref="L25:M25" si="19">SUM(L26:L28)</f>
        <v>0.12</v>
      </c>
      <c r="M25" s="207">
        <f t="shared" si="19"/>
        <v>0.13</v>
      </c>
      <c r="N25" s="27">
        <f>SUM(N26:N28)</f>
        <v>0.9052</v>
      </c>
      <c r="O25" s="27">
        <f>SUM(O26:O28)</f>
        <v>1.0440970000000003</v>
      </c>
      <c r="P25" s="207">
        <f>SUM(P26:P28)</f>
        <v>17.559999999999999</v>
      </c>
      <c r="Q25" s="207">
        <f t="shared" ref="Q25" si="20">SUM(Q26:Q28)</f>
        <v>23.9</v>
      </c>
      <c r="R25" s="27">
        <f>SUM(R26:R28)</f>
        <v>23.003799999999998</v>
      </c>
      <c r="S25" s="27">
        <f>SUM(S26:S28)</f>
        <v>26.537255500000004</v>
      </c>
      <c r="T25" s="207">
        <f t="shared" ref="T25:U25" si="21">SUM(T26:T28)</f>
        <v>7.94</v>
      </c>
      <c r="U25" s="207">
        <f t="shared" si="21"/>
        <v>10.85</v>
      </c>
      <c r="V25" s="27">
        <f>SUM(V26:V28)</f>
        <v>12.031599999999999</v>
      </c>
      <c r="W25" s="27">
        <f>SUM(W26:W28)</f>
        <v>13.879351000000002</v>
      </c>
    </row>
    <row r="26" spans="1:23" ht="12" customHeight="1">
      <c r="A26" s="96" t="s">
        <v>33</v>
      </c>
      <c r="B26" s="97" t="s">
        <v>81</v>
      </c>
      <c r="C26" s="88" t="s">
        <v>58</v>
      </c>
      <c r="D26" s="207">
        <f t="shared" ref="D26:E30" si="22">H26+P26+T26+L26</f>
        <v>190.65</v>
      </c>
      <c r="E26" s="207">
        <f t="shared" si="22"/>
        <v>234.29000000000002</v>
      </c>
      <c r="F26" s="27">
        <f t="shared" si="5"/>
        <v>214.26999999999998</v>
      </c>
      <c r="G26" s="27">
        <f t="shared" si="5"/>
        <v>251.22217299999997</v>
      </c>
      <c r="H26" s="208">
        <v>174.17</v>
      </c>
      <c r="I26" s="208">
        <v>210.08</v>
      </c>
      <c r="J26" s="20">
        <v>188.04</v>
      </c>
      <c r="K26" s="20">
        <f>188.04*1.17245</f>
        <v>220.46749799999998</v>
      </c>
      <c r="L26" s="208">
        <v>0.08</v>
      </c>
      <c r="M26" s="208">
        <v>0.09</v>
      </c>
      <c r="N26" s="20">
        <v>0.66</v>
      </c>
      <c r="O26" s="20">
        <f>0.66*1.1725</f>
        <v>0.77385000000000015</v>
      </c>
      <c r="P26" s="208">
        <v>11.29</v>
      </c>
      <c r="Q26" s="208">
        <v>16.59</v>
      </c>
      <c r="R26" s="20">
        <v>16.79</v>
      </c>
      <c r="S26" s="20">
        <f>16.79*1.1725</f>
        <v>19.686275000000002</v>
      </c>
      <c r="T26" s="208">
        <v>5.1100000000000003</v>
      </c>
      <c r="U26" s="208">
        <v>7.53</v>
      </c>
      <c r="V26" s="20">
        <v>8.7799999999999994</v>
      </c>
      <c r="W26" s="20">
        <f>8.78*1.1725</f>
        <v>10.294550000000001</v>
      </c>
    </row>
    <row r="27" spans="1:23" ht="12" customHeight="1">
      <c r="A27" s="96" t="s">
        <v>35</v>
      </c>
      <c r="B27" s="97" t="s">
        <v>87</v>
      </c>
      <c r="C27" s="88" t="s">
        <v>58</v>
      </c>
      <c r="D27" s="207">
        <f t="shared" si="22"/>
        <v>69.86</v>
      </c>
      <c r="E27" s="207">
        <f t="shared" si="22"/>
        <v>51.71</v>
      </c>
      <c r="F27" s="27">
        <f t="shared" si="5"/>
        <v>47.139400000000009</v>
      </c>
      <c r="G27" s="27">
        <f t="shared" si="5"/>
        <v>55.268878059999999</v>
      </c>
      <c r="H27" s="208">
        <v>63.82</v>
      </c>
      <c r="I27" s="208">
        <v>46.37</v>
      </c>
      <c r="J27" s="20">
        <f>J26*0.22</f>
        <v>41.3688</v>
      </c>
      <c r="K27" s="20">
        <f>K26*0.22</f>
        <v>48.502849559999994</v>
      </c>
      <c r="L27" s="208">
        <v>0.03</v>
      </c>
      <c r="M27" s="208">
        <v>0.02</v>
      </c>
      <c r="N27" s="20">
        <f>N26*0.22</f>
        <v>0.1452</v>
      </c>
      <c r="O27" s="20">
        <f>O26*0.22</f>
        <v>0.17024700000000004</v>
      </c>
      <c r="P27" s="208">
        <v>4.1399999999999997</v>
      </c>
      <c r="Q27" s="208">
        <v>3.66</v>
      </c>
      <c r="R27" s="20">
        <f>R26*0.22</f>
        <v>3.6938</v>
      </c>
      <c r="S27" s="20">
        <f>S26*0.22</f>
        <v>4.3309805000000008</v>
      </c>
      <c r="T27" s="208">
        <v>1.87</v>
      </c>
      <c r="U27" s="208">
        <v>1.66</v>
      </c>
      <c r="V27" s="20">
        <f>V26*0.22</f>
        <v>1.9315999999999998</v>
      </c>
      <c r="W27" s="20">
        <f>W26*0.22</f>
        <v>2.2648010000000003</v>
      </c>
    </row>
    <row r="28" spans="1:23" ht="12" customHeight="1">
      <c r="A28" s="96" t="s">
        <v>88</v>
      </c>
      <c r="B28" s="97" t="s">
        <v>85</v>
      </c>
      <c r="C28" s="88" t="s">
        <v>58</v>
      </c>
      <c r="D28" s="207">
        <f t="shared" si="22"/>
        <v>35.940000000000005</v>
      </c>
      <c r="E28" s="207">
        <f t="shared" si="22"/>
        <v>51.6</v>
      </c>
      <c r="F28" s="27">
        <f t="shared" si="5"/>
        <v>32.17</v>
      </c>
      <c r="G28" s="27">
        <f t="shared" si="5"/>
        <v>32.17</v>
      </c>
      <c r="H28" s="208">
        <v>32.840000000000003</v>
      </c>
      <c r="I28" s="208">
        <v>46.27</v>
      </c>
      <c r="J28" s="20">
        <v>28.23</v>
      </c>
      <c r="K28" s="20">
        <v>28.23</v>
      </c>
      <c r="L28" s="208">
        <v>0.01</v>
      </c>
      <c r="M28" s="208">
        <v>0.02</v>
      </c>
      <c r="N28" s="20">
        <v>0.1</v>
      </c>
      <c r="O28" s="20">
        <v>0.1</v>
      </c>
      <c r="P28" s="208">
        <v>2.13</v>
      </c>
      <c r="Q28" s="208">
        <v>3.65</v>
      </c>
      <c r="R28" s="20">
        <v>2.52</v>
      </c>
      <c r="S28" s="20">
        <v>2.52</v>
      </c>
      <c r="T28" s="208">
        <v>0.96</v>
      </c>
      <c r="U28" s="208">
        <v>1.66</v>
      </c>
      <c r="V28" s="20">
        <v>1.32</v>
      </c>
      <c r="W28" s="20">
        <v>1.32</v>
      </c>
    </row>
    <row r="29" spans="1:23" ht="12" customHeight="1">
      <c r="A29" s="96" t="s">
        <v>378</v>
      </c>
      <c r="B29" s="97" t="s">
        <v>127</v>
      </c>
      <c r="C29" s="88" t="s">
        <v>58</v>
      </c>
      <c r="D29" s="207">
        <f t="shared" si="22"/>
        <v>0</v>
      </c>
      <c r="E29" s="207">
        <f t="shared" si="22"/>
        <v>0</v>
      </c>
      <c r="F29" s="27">
        <f t="shared" si="5"/>
        <v>0</v>
      </c>
      <c r="G29" s="27">
        <f t="shared" si="5"/>
        <v>0</v>
      </c>
      <c r="H29" s="210"/>
      <c r="I29" s="210"/>
      <c r="J29" s="20">
        <v>0</v>
      </c>
      <c r="K29" s="20">
        <v>0</v>
      </c>
      <c r="L29" s="210"/>
      <c r="M29" s="210"/>
      <c r="N29" s="20">
        <v>0</v>
      </c>
      <c r="O29" s="20">
        <v>0</v>
      </c>
      <c r="P29" s="210"/>
      <c r="Q29" s="210"/>
      <c r="R29" s="20">
        <v>0</v>
      </c>
      <c r="S29" s="20">
        <v>0</v>
      </c>
      <c r="T29" s="210"/>
      <c r="U29" s="210"/>
      <c r="V29" s="20">
        <v>0</v>
      </c>
      <c r="W29" s="20">
        <v>0</v>
      </c>
    </row>
    <row r="30" spans="1:23" ht="12" customHeight="1">
      <c r="A30" s="96" t="s">
        <v>379</v>
      </c>
      <c r="B30" s="97" t="s">
        <v>5</v>
      </c>
      <c r="C30" s="88" t="s">
        <v>58</v>
      </c>
      <c r="D30" s="207">
        <f t="shared" si="22"/>
        <v>0</v>
      </c>
      <c r="E30" s="207">
        <f t="shared" si="22"/>
        <v>0</v>
      </c>
      <c r="F30" s="27">
        <f t="shared" si="5"/>
        <v>0</v>
      </c>
      <c r="G30" s="27">
        <f t="shared" si="5"/>
        <v>0</v>
      </c>
      <c r="H30" s="210"/>
      <c r="I30" s="210"/>
      <c r="J30" s="20">
        <v>0</v>
      </c>
      <c r="K30" s="20">
        <v>0</v>
      </c>
      <c r="L30" s="210"/>
      <c r="M30" s="210"/>
      <c r="N30" s="20">
        <v>0</v>
      </c>
      <c r="O30" s="20">
        <v>0</v>
      </c>
      <c r="P30" s="210"/>
      <c r="Q30" s="210"/>
      <c r="R30" s="20">
        <v>0</v>
      </c>
      <c r="S30" s="20">
        <v>0</v>
      </c>
      <c r="T30" s="210"/>
      <c r="U30" s="210"/>
      <c r="V30" s="20">
        <v>0</v>
      </c>
      <c r="W30" s="20">
        <v>0</v>
      </c>
    </row>
    <row r="31" spans="1:23" s="22" customFormat="1" ht="12" customHeight="1">
      <c r="A31" s="98" t="s">
        <v>345</v>
      </c>
      <c r="B31" s="99" t="s">
        <v>92</v>
      </c>
      <c r="C31" s="94" t="s">
        <v>58</v>
      </c>
      <c r="D31" s="207">
        <f>H31+P31+T31+L31</f>
        <v>14710.03</v>
      </c>
      <c r="E31" s="207">
        <f>I31+Q31+U31+M31</f>
        <v>13593.430000000002</v>
      </c>
      <c r="F31" s="27">
        <f t="shared" si="5"/>
        <v>16313.121899999998</v>
      </c>
      <c r="G31" s="27">
        <f t="shared" si="5"/>
        <v>18501.542222362699</v>
      </c>
      <c r="H31" s="211">
        <f t="shared" ref="H31:I31" si="23">H10+H25</f>
        <v>13438.95</v>
      </c>
      <c r="I31" s="211">
        <f t="shared" si="23"/>
        <v>12188.1</v>
      </c>
      <c r="J31" s="28">
        <f>J10+J25</f>
        <v>14303.394399999999</v>
      </c>
      <c r="K31" s="28">
        <f>K10+K25</f>
        <v>16236.3942601257</v>
      </c>
      <c r="L31" s="211">
        <f t="shared" ref="L31:M31" si="24">L10+L25</f>
        <v>5.81</v>
      </c>
      <c r="M31" s="211">
        <f t="shared" si="24"/>
        <v>5.1999999999999993</v>
      </c>
      <c r="N31" s="28">
        <f>N10+N25</f>
        <v>50.555600000000005</v>
      </c>
      <c r="O31" s="28">
        <f>O10+O25</f>
        <v>56.978340729999992</v>
      </c>
      <c r="P31" s="211">
        <f t="shared" ref="P31:Q31" si="25">P10+P25</f>
        <v>871.44999999999993</v>
      </c>
      <c r="Q31" s="211">
        <f t="shared" si="25"/>
        <v>962.44999999999993</v>
      </c>
      <c r="R31" s="28">
        <f>R10+R25</f>
        <v>1286.2729999999999</v>
      </c>
      <c r="S31" s="28">
        <f>S10+S25</f>
        <v>1449.7586063280003</v>
      </c>
      <c r="T31" s="211">
        <f t="shared" ref="T31:U31" si="26">T10+T25</f>
        <v>393.82</v>
      </c>
      <c r="U31" s="211">
        <f t="shared" si="26"/>
        <v>437.68</v>
      </c>
      <c r="V31" s="28">
        <f>V10+V25</f>
        <v>672.89890000000003</v>
      </c>
      <c r="W31" s="28">
        <f>W10+W25</f>
        <v>758.41101517900006</v>
      </c>
    </row>
    <row r="32" spans="1:23" s="22" customFormat="1" ht="12" customHeight="1">
      <c r="A32" s="98" t="s">
        <v>347</v>
      </c>
      <c r="B32" s="99" t="s">
        <v>382</v>
      </c>
      <c r="C32" s="94" t="s">
        <v>58</v>
      </c>
      <c r="D32" s="207">
        <f t="shared" ref="D32:E38" si="27">H32+P32+T32+L32</f>
        <v>0</v>
      </c>
      <c r="E32" s="207">
        <f t="shared" si="27"/>
        <v>0</v>
      </c>
      <c r="F32" s="27">
        <f t="shared" si="5"/>
        <v>0</v>
      </c>
      <c r="G32" s="27">
        <f t="shared" si="5"/>
        <v>0</v>
      </c>
      <c r="H32" s="211">
        <v>0</v>
      </c>
      <c r="I32" s="211">
        <v>0</v>
      </c>
      <c r="J32" s="28">
        <v>0</v>
      </c>
      <c r="K32" s="28">
        <v>0</v>
      </c>
      <c r="L32" s="211">
        <v>0</v>
      </c>
      <c r="M32" s="211">
        <v>0</v>
      </c>
      <c r="N32" s="28">
        <v>0</v>
      </c>
      <c r="O32" s="28">
        <v>0</v>
      </c>
      <c r="P32" s="211">
        <v>0</v>
      </c>
      <c r="Q32" s="211">
        <v>0</v>
      </c>
      <c r="R32" s="28">
        <v>0</v>
      </c>
      <c r="S32" s="28">
        <v>0</v>
      </c>
      <c r="T32" s="211">
        <v>0</v>
      </c>
      <c r="U32" s="211">
        <v>0</v>
      </c>
      <c r="V32" s="28">
        <v>0</v>
      </c>
      <c r="W32" s="28">
        <v>0</v>
      </c>
    </row>
    <row r="33" spans="1:23" s="22" customFormat="1" ht="12" customHeight="1">
      <c r="A33" s="98" t="s">
        <v>350</v>
      </c>
      <c r="B33" s="99" t="s">
        <v>128</v>
      </c>
      <c r="C33" s="94" t="s">
        <v>58</v>
      </c>
      <c r="D33" s="207">
        <f t="shared" si="27"/>
        <v>0</v>
      </c>
      <c r="E33" s="207">
        <f t="shared" si="27"/>
        <v>0</v>
      </c>
      <c r="F33" s="27">
        <f t="shared" si="5"/>
        <v>0</v>
      </c>
      <c r="G33" s="27">
        <f t="shared" si="5"/>
        <v>0</v>
      </c>
      <c r="H33" s="212">
        <f t="shared" ref="H33:I33" si="28">SUM(H35:H38)</f>
        <v>0</v>
      </c>
      <c r="I33" s="212">
        <f t="shared" si="28"/>
        <v>0</v>
      </c>
      <c r="J33" s="21">
        <f>SUM(J35:J38)</f>
        <v>0</v>
      </c>
      <c r="K33" s="21">
        <f>SUM(K35:K38)</f>
        <v>0</v>
      </c>
      <c r="L33" s="212">
        <f t="shared" ref="L33:M33" si="29">SUM(L35:L38)</f>
        <v>0</v>
      </c>
      <c r="M33" s="212">
        <f t="shared" si="29"/>
        <v>0</v>
      </c>
      <c r="N33" s="21">
        <f>SUM(N35:N38)</f>
        <v>0</v>
      </c>
      <c r="O33" s="21">
        <f>SUM(O35:O38)</f>
        <v>0</v>
      </c>
      <c r="P33" s="212">
        <f t="shared" ref="P33:Q33" si="30">SUM(P35:P38)</f>
        <v>0</v>
      </c>
      <c r="Q33" s="212">
        <f t="shared" si="30"/>
        <v>0</v>
      </c>
      <c r="R33" s="21">
        <f>SUM(R35:R38)</f>
        <v>0</v>
      </c>
      <c r="S33" s="21">
        <f>SUM(S35:S38)</f>
        <v>0</v>
      </c>
      <c r="T33" s="212">
        <f t="shared" ref="T33:U33" si="31">SUM(T35:T38)</f>
        <v>0</v>
      </c>
      <c r="U33" s="212">
        <f t="shared" si="31"/>
        <v>0</v>
      </c>
      <c r="V33" s="21">
        <f>SUM(V35:V38)</f>
        <v>0</v>
      </c>
      <c r="W33" s="21">
        <f>SUM(W35:W38)</f>
        <v>0</v>
      </c>
    </row>
    <row r="34" spans="1:23" ht="12" customHeight="1">
      <c r="A34" s="96" t="s">
        <v>93</v>
      </c>
      <c r="B34" s="97" t="s">
        <v>94</v>
      </c>
      <c r="C34" s="88" t="s">
        <v>129</v>
      </c>
      <c r="D34" s="207">
        <f t="shared" si="27"/>
        <v>0</v>
      </c>
      <c r="E34" s="207">
        <f t="shared" si="27"/>
        <v>0</v>
      </c>
      <c r="F34" s="27">
        <f t="shared" si="5"/>
        <v>0</v>
      </c>
      <c r="G34" s="27">
        <f t="shared" si="5"/>
        <v>0</v>
      </c>
      <c r="H34" s="207"/>
      <c r="I34" s="207"/>
      <c r="J34" s="20">
        <v>0</v>
      </c>
      <c r="K34" s="20">
        <v>0</v>
      </c>
      <c r="L34" s="207"/>
      <c r="M34" s="207"/>
      <c r="N34" s="20">
        <v>0</v>
      </c>
      <c r="O34" s="20">
        <v>0</v>
      </c>
      <c r="P34" s="207"/>
      <c r="Q34" s="207"/>
      <c r="R34" s="20">
        <v>0</v>
      </c>
      <c r="S34" s="20">
        <v>0</v>
      </c>
      <c r="T34" s="207"/>
      <c r="U34" s="207"/>
      <c r="V34" s="20">
        <v>0</v>
      </c>
      <c r="W34" s="20">
        <v>0</v>
      </c>
    </row>
    <row r="35" spans="1:23" ht="12" customHeight="1">
      <c r="A35" s="96" t="s">
        <v>95</v>
      </c>
      <c r="B35" s="97" t="s">
        <v>130</v>
      </c>
      <c r="C35" s="88" t="s">
        <v>58</v>
      </c>
      <c r="D35" s="207">
        <f t="shared" si="27"/>
        <v>0</v>
      </c>
      <c r="E35" s="207">
        <f t="shared" si="27"/>
        <v>0</v>
      </c>
      <c r="F35" s="27">
        <f t="shared" si="5"/>
        <v>0</v>
      </c>
      <c r="G35" s="27">
        <f t="shared" si="5"/>
        <v>0</v>
      </c>
      <c r="H35" s="207"/>
      <c r="I35" s="207"/>
      <c r="J35" s="20">
        <v>0</v>
      </c>
      <c r="K35" s="20">
        <v>0</v>
      </c>
      <c r="L35" s="207"/>
      <c r="M35" s="207"/>
      <c r="N35" s="20">
        <v>0</v>
      </c>
      <c r="O35" s="20">
        <v>0</v>
      </c>
      <c r="P35" s="207"/>
      <c r="Q35" s="207"/>
      <c r="R35" s="20">
        <v>0</v>
      </c>
      <c r="S35" s="20">
        <v>0</v>
      </c>
      <c r="T35" s="207"/>
      <c r="U35" s="207"/>
      <c r="V35" s="20">
        <v>0</v>
      </c>
      <c r="W35" s="20">
        <v>0</v>
      </c>
    </row>
    <row r="36" spans="1:23" ht="12" customHeight="1">
      <c r="A36" s="96" t="s">
        <v>97</v>
      </c>
      <c r="B36" s="97" t="s">
        <v>131</v>
      </c>
      <c r="C36" s="88" t="s">
        <v>58</v>
      </c>
      <c r="D36" s="207">
        <f t="shared" si="27"/>
        <v>0</v>
      </c>
      <c r="E36" s="207">
        <f t="shared" si="27"/>
        <v>0</v>
      </c>
      <c r="F36" s="27">
        <f t="shared" si="5"/>
        <v>0</v>
      </c>
      <c r="G36" s="27">
        <f t="shared" si="5"/>
        <v>0</v>
      </c>
      <c r="H36" s="207"/>
      <c r="I36" s="207"/>
      <c r="J36" s="20">
        <v>0</v>
      </c>
      <c r="K36" s="20">
        <v>0</v>
      </c>
      <c r="L36" s="207"/>
      <c r="M36" s="207"/>
      <c r="N36" s="20">
        <v>0</v>
      </c>
      <c r="O36" s="20">
        <v>0</v>
      </c>
      <c r="P36" s="207"/>
      <c r="Q36" s="207"/>
      <c r="R36" s="20">
        <v>0</v>
      </c>
      <c r="S36" s="20">
        <v>0</v>
      </c>
      <c r="T36" s="207"/>
      <c r="U36" s="207"/>
      <c r="V36" s="20">
        <v>0</v>
      </c>
      <c r="W36" s="20">
        <v>0</v>
      </c>
    </row>
    <row r="37" spans="1:23" ht="12" customHeight="1">
      <c r="A37" s="96" t="s">
        <v>99</v>
      </c>
      <c r="B37" s="97" t="s">
        <v>100</v>
      </c>
      <c r="C37" s="88" t="s">
        <v>58</v>
      </c>
      <c r="D37" s="207">
        <f t="shared" si="27"/>
        <v>0</v>
      </c>
      <c r="E37" s="207">
        <f t="shared" si="27"/>
        <v>0</v>
      </c>
      <c r="F37" s="27">
        <f t="shared" si="5"/>
        <v>0</v>
      </c>
      <c r="G37" s="27">
        <f t="shared" si="5"/>
        <v>0</v>
      </c>
      <c r="H37" s="207"/>
      <c r="I37" s="207"/>
      <c r="J37" s="20">
        <v>0</v>
      </c>
      <c r="K37" s="20">
        <v>0</v>
      </c>
      <c r="L37" s="207"/>
      <c r="M37" s="207"/>
      <c r="N37" s="20">
        <v>0</v>
      </c>
      <c r="O37" s="20">
        <v>0</v>
      </c>
      <c r="P37" s="207"/>
      <c r="Q37" s="207"/>
      <c r="R37" s="20">
        <v>0</v>
      </c>
      <c r="S37" s="20">
        <v>0</v>
      </c>
      <c r="T37" s="207"/>
      <c r="U37" s="207"/>
      <c r="V37" s="20">
        <v>0</v>
      </c>
      <c r="W37" s="20">
        <v>0</v>
      </c>
    </row>
    <row r="38" spans="1:23" ht="12" customHeight="1">
      <c r="A38" s="96" t="s">
        <v>101</v>
      </c>
      <c r="B38" s="97" t="s">
        <v>132</v>
      </c>
      <c r="C38" s="88" t="s">
        <v>58</v>
      </c>
      <c r="D38" s="207">
        <f t="shared" si="27"/>
        <v>0</v>
      </c>
      <c r="E38" s="207">
        <f t="shared" si="27"/>
        <v>0</v>
      </c>
      <c r="F38" s="27">
        <f t="shared" si="5"/>
        <v>0</v>
      </c>
      <c r="G38" s="27">
        <f t="shared" si="5"/>
        <v>0</v>
      </c>
      <c r="H38" s="207"/>
      <c r="I38" s="207"/>
      <c r="J38" s="20">
        <v>0</v>
      </c>
      <c r="K38" s="20">
        <v>0</v>
      </c>
      <c r="L38" s="207"/>
      <c r="M38" s="207"/>
      <c r="N38" s="20">
        <v>0</v>
      </c>
      <c r="O38" s="20">
        <v>0</v>
      </c>
      <c r="P38" s="207"/>
      <c r="Q38" s="207"/>
      <c r="R38" s="20">
        <v>0</v>
      </c>
      <c r="S38" s="20">
        <v>0</v>
      </c>
      <c r="T38" s="207"/>
      <c r="U38" s="207"/>
      <c r="V38" s="20">
        <v>0</v>
      </c>
      <c r="W38" s="20">
        <v>0</v>
      </c>
    </row>
    <row r="39" spans="1:23" s="22" customFormat="1" ht="12" customHeight="1">
      <c r="A39" s="98">
        <v>8</v>
      </c>
      <c r="B39" s="99" t="s">
        <v>387</v>
      </c>
      <c r="C39" s="94" t="s">
        <v>58</v>
      </c>
      <c r="D39" s="207">
        <f>H39+P39+T39+L39</f>
        <v>14710.03</v>
      </c>
      <c r="E39" s="207">
        <f>I39+Q39+U39+M39</f>
        <v>13593.430000000002</v>
      </c>
      <c r="F39" s="27">
        <f t="shared" si="5"/>
        <v>16313.121899999998</v>
      </c>
      <c r="G39" s="27">
        <f t="shared" si="5"/>
        <v>18501.542222362699</v>
      </c>
      <c r="H39" s="211">
        <f t="shared" ref="H39:I39" si="32">H31</f>
        <v>13438.95</v>
      </c>
      <c r="I39" s="211">
        <f t="shared" si="32"/>
        <v>12188.1</v>
      </c>
      <c r="J39" s="28">
        <f>J31</f>
        <v>14303.394399999999</v>
      </c>
      <c r="K39" s="28">
        <f>K31</f>
        <v>16236.3942601257</v>
      </c>
      <c r="L39" s="211">
        <f t="shared" ref="L39:M39" si="33">L31</f>
        <v>5.81</v>
      </c>
      <c r="M39" s="211">
        <f t="shared" si="33"/>
        <v>5.1999999999999993</v>
      </c>
      <c r="N39" s="28">
        <f>N31</f>
        <v>50.555600000000005</v>
      </c>
      <c r="O39" s="28">
        <f>O31</f>
        <v>56.978340729999992</v>
      </c>
      <c r="P39" s="211">
        <f t="shared" ref="P39:Q39" si="34">P31</f>
        <v>871.44999999999993</v>
      </c>
      <c r="Q39" s="211">
        <f t="shared" si="34"/>
        <v>962.44999999999993</v>
      </c>
      <c r="R39" s="28">
        <f>R31</f>
        <v>1286.2729999999999</v>
      </c>
      <c r="S39" s="28">
        <f>S31</f>
        <v>1449.7586063280003</v>
      </c>
      <c r="T39" s="211">
        <f t="shared" ref="T39:U39" si="35">T31</f>
        <v>393.82</v>
      </c>
      <c r="U39" s="211">
        <f t="shared" si="35"/>
        <v>437.68</v>
      </c>
      <c r="V39" s="28">
        <f>V31</f>
        <v>672.89890000000003</v>
      </c>
      <c r="W39" s="28">
        <f>W31</f>
        <v>758.41101517900006</v>
      </c>
    </row>
    <row r="40" spans="1:23" s="22" customFormat="1" ht="12" customHeight="1">
      <c r="A40" s="98">
        <v>9</v>
      </c>
      <c r="B40" s="99" t="s">
        <v>133</v>
      </c>
      <c r="C40" s="94" t="s">
        <v>105</v>
      </c>
      <c r="D40" s="207">
        <f t="shared" ref="D40:E40" si="36">D39/D50*1000</f>
        <v>65.431177906031323</v>
      </c>
      <c r="E40" s="207">
        <f t="shared" si="36"/>
        <v>61.124709438610275</v>
      </c>
      <c r="F40" s="27">
        <f>F39/F50*1000</f>
        <v>50.403723921528105</v>
      </c>
      <c r="G40" s="27">
        <f>G39/G50*1000</f>
        <v>57.165429892267589</v>
      </c>
      <c r="H40" s="213">
        <f t="shared" ref="H40:I40" si="37">H39/H50*1000</f>
        <v>65.327973752435952</v>
      </c>
      <c r="I40" s="213">
        <f t="shared" si="37"/>
        <v>61.121450052881563</v>
      </c>
      <c r="J40" s="47">
        <f>J39/J50*1000</f>
        <v>50.204673788305534</v>
      </c>
      <c r="K40" s="47">
        <f>K39/K50*1000</f>
        <v>56.98947078799192</v>
      </c>
      <c r="L40" s="213">
        <f t="shared" ref="L40:M40" si="38">L39/L50*1000</f>
        <v>65.324938160557679</v>
      </c>
      <c r="M40" s="213">
        <f t="shared" si="38"/>
        <v>61.176470588235283</v>
      </c>
      <c r="N40" s="47">
        <f>N39</f>
        <v>50.555600000000005</v>
      </c>
      <c r="O40" s="47">
        <f>O39</f>
        <v>56.978340729999992</v>
      </c>
      <c r="P40" s="213">
        <f t="shared" ref="P40:Q40" si="39">P39/P50*1000</f>
        <v>65.321141352866078</v>
      </c>
      <c r="Q40" s="213">
        <f t="shared" si="39"/>
        <v>61.124624500657319</v>
      </c>
      <c r="R40" s="47">
        <f>R39/R50*1000</f>
        <v>50.562516362504255</v>
      </c>
      <c r="S40" s="47">
        <f>S39/S50*1000</f>
        <v>56.989024300549637</v>
      </c>
      <c r="T40" s="213">
        <f t="shared" ref="T40:U40" si="40">T39/T50*1000</f>
        <v>69.434869767745283</v>
      </c>
      <c r="U40" s="213">
        <f t="shared" si="40"/>
        <v>61.215184632985824</v>
      </c>
      <c r="V40" s="47">
        <f>V39/V50*1000</f>
        <v>50.562614262001787</v>
      </c>
      <c r="W40" s="47">
        <f>W39/W50*1000</f>
        <v>56.988120522338441</v>
      </c>
    </row>
    <row r="41" spans="1:23" s="24" customFormat="1" ht="12" customHeight="1">
      <c r="A41" s="100">
        <v>10</v>
      </c>
      <c r="B41" s="101" t="s">
        <v>386</v>
      </c>
      <c r="C41" s="29" t="s">
        <v>27</v>
      </c>
      <c r="D41" s="207">
        <f t="shared" ref="D41:E56" si="41">H41+P41+T41+L41</f>
        <v>0</v>
      </c>
      <c r="E41" s="207">
        <f t="shared" si="41"/>
        <v>0</v>
      </c>
      <c r="F41" s="27">
        <f t="shared" si="5"/>
        <v>0</v>
      </c>
      <c r="G41" s="27">
        <f t="shared" si="5"/>
        <v>0</v>
      </c>
      <c r="H41" s="214">
        <f>SUM(H42:H43)</f>
        <v>0</v>
      </c>
      <c r="I41" s="214">
        <f>SUM(I42:I43)</f>
        <v>0</v>
      </c>
      <c r="J41" s="23">
        <f>SUM(J42:J43)</f>
        <v>0</v>
      </c>
      <c r="K41" s="23">
        <f>SUM(K42:K43)</f>
        <v>0</v>
      </c>
      <c r="L41" s="214"/>
      <c r="M41" s="214"/>
      <c r="N41" s="23">
        <f>SUM(N42:N43)</f>
        <v>0</v>
      </c>
      <c r="O41" s="23">
        <f>SUM(O42:O43)</f>
        <v>0</v>
      </c>
      <c r="P41" s="214"/>
      <c r="Q41" s="214"/>
      <c r="R41" s="23">
        <f>SUM(R42:R43)</f>
        <v>0</v>
      </c>
      <c r="S41" s="23">
        <f>SUM(S42:S43)</f>
        <v>0</v>
      </c>
      <c r="T41" s="214"/>
      <c r="U41" s="214"/>
      <c r="V41" s="23">
        <f>SUM(V42:V43)</f>
        <v>0</v>
      </c>
      <c r="W41" s="23">
        <f>SUM(W42:W43)</f>
        <v>0</v>
      </c>
    </row>
    <row r="42" spans="1:23" ht="12" customHeight="1">
      <c r="A42" s="96" t="s">
        <v>134</v>
      </c>
      <c r="B42" s="97" t="s">
        <v>135</v>
      </c>
      <c r="C42" s="88" t="s">
        <v>27</v>
      </c>
      <c r="D42" s="207">
        <f t="shared" si="41"/>
        <v>0</v>
      </c>
      <c r="E42" s="207">
        <f t="shared" si="41"/>
        <v>0</v>
      </c>
      <c r="F42" s="27">
        <f t="shared" si="5"/>
        <v>0</v>
      </c>
      <c r="G42" s="27">
        <f t="shared" si="5"/>
        <v>0</v>
      </c>
      <c r="H42" s="214"/>
      <c r="I42" s="214"/>
      <c r="J42" s="23">
        <v>0</v>
      </c>
      <c r="K42" s="23">
        <v>0</v>
      </c>
      <c r="L42" s="214"/>
      <c r="M42" s="214"/>
      <c r="N42" s="23">
        <v>0</v>
      </c>
      <c r="O42" s="23">
        <v>0</v>
      </c>
      <c r="P42" s="214"/>
      <c r="Q42" s="214"/>
      <c r="R42" s="23">
        <v>0</v>
      </c>
      <c r="S42" s="23">
        <v>0</v>
      </c>
      <c r="T42" s="214"/>
      <c r="U42" s="214"/>
      <c r="V42" s="23">
        <v>0</v>
      </c>
      <c r="W42" s="23">
        <v>0</v>
      </c>
    </row>
    <row r="43" spans="1:23" ht="12" customHeight="1">
      <c r="A43" s="96" t="s">
        <v>136</v>
      </c>
      <c r="B43" s="97" t="s">
        <v>208</v>
      </c>
      <c r="C43" s="88" t="s">
        <v>27</v>
      </c>
      <c r="D43" s="207">
        <f t="shared" si="41"/>
        <v>0</v>
      </c>
      <c r="E43" s="207">
        <f t="shared" si="41"/>
        <v>0</v>
      </c>
      <c r="F43" s="27">
        <f t="shared" si="5"/>
        <v>0</v>
      </c>
      <c r="G43" s="27">
        <f t="shared" si="5"/>
        <v>0</v>
      </c>
      <c r="H43" s="214"/>
      <c r="I43" s="214"/>
      <c r="J43" s="23">
        <v>0</v>
      </c>
      <c r="K43" s="23">
        <v>0</v>
      </c>
      <c r="L43" s="214"/>
      <c r="M43" s="214"/>
      <c r="N43" s="23">
        <v>0</v>
      </c>
      <c r="O43" s="23">
        <v>0</v>
      </c>
      <c r="P43" s="214"/>
      <c r="Q43" s="214"/>
      <c r="R43" s="23">
        <v>0</v>
      </c>
      <c r="S43" s="23">
        <v>0</v>
      </c>
      <c r="T43" s="214"/>
      <c r="U43" s="214"/>
      <c r="V43" s="23">
        <v>0</v>
      </c>
      <c r="W43" s="23">
        <v>0</v>
      </c>
    </row>
    <row r="44" spans="1:23" ht="12" customHeight="1">
      <c r="A44" s="96">
        <v>11</v>
      </c>
      <c r="B44" s="97" t="s">
        <v>137</v>
      </c>
      <c r="C44" s="88" t="s">
        <v>27</v>
      </c>
      <c r="D44" s="207">
        <f t="shared" si="41"/>
        <v>0</v>
      </c>
      <c r="E44" s="207">
        <f t="shared" si="41"/>
        <v>0</v>
      </c>
      <c r="F44" s="27">
        <f t="shared" si="5"/>
        <v>0</v>
      </c>
      <c r="G44" s="27">
        <f t="shared" si="5"/>
        <v>0</v>
      </c>
      <c r="H44" s="214">
        <f>SUM(H45:H46)</f>
        <v>0</v>
      </c>
      <c r="I44" s="214">
        <f>SUM(I45:I46)</f>
        <v>0</v>
      </c>
      <c r="J44" s="23">
        <f>SUM(J45:J46)</f>
        <v>0</v>
      </c>
      <c r="K44" s="23">
        <f>SUM(K45:K46)</f>
        <v>0</v>
      </c>
      <c r="L44" s="214"/>
      <c r="M44" s="214"/>
      <c r="N44" s="23">
        <f>SUM(N45:N46)</f>
        <v>0</v>
      </c>
      <c r="O44" s="23">
        <f>SUM(O45:O46)</f>
        <v>0</v>
      </c>
      <c r="P44" s="214"/>
      <c r="Q44" s="214"/>
      <c r="R44" s="23">
        <f>SUM(R45:R46)</f>
        <v>0</v>
      </c>
      <c r="S44" s="23">
        <f>SUM(S45:S46)</f>
        <v>0</v>
      </c>
      <c r="T44" s="214"/>
      <c r="U44" s="214"/>
      <c r="V44" s="23">
        <f>SUM(V45:V46)</f>
        <v>0</v>
      </c>
      <c r="W44" s="23">
        <f>SUM(W45:W46)</f>
        <v>0</v>
      </c>
    </row>
    <row r="45" spans="1:23" ht="12" customHeight="1">
      <c r="A45" s="96" t="s">
        <v>138</v>
      </c>
      <c r="B45" s="97" t="s">
        <v>135</v>
      </c>
      <c r="C45" s="88" t="s">
        <v>27</v>
      </c>
      <c r="D45" s="207">
        <f t="shared" si="41"/>
        <v>0</v>
      </c>
      <c r="E45" s="207">
        <f t="shared" si="41"/>
        <v>0</v>
      </c>
      <c r="F45" s="27">
        <f t="shared" si="5"/>
        <v>0</v>
      </c>
      <c r="G45" s="27">
        <f t="shared" si="5"/>
        <v>0</v>
      </c>
      <c r="H45" s="214"/>
      <c r="I45" s="214"/>
      <c r="J45" s="23">
        <v>0</v>
      </c>
      <c r="K45" s="23">
        <v>0</v>
      </c>
      <c r="L45" s="214"/>
      <c r="M45" s="214"/>
      <c r="N45" s="23">
        <v>0</v>
      </c>
      <c r="O45" s="23">
        <v>0</v>
      </c>
      <c r="P45" s="214"/>
      <c r="Q45" s="214"/>
      <c r="R45" s="23">
        <v>0</v>
      </c>
      <c r="S45" s="23">
        <v>0</v>
      </c>
      <c r="T45" s="214"/>
      <c r="U45" s="214"/>
      <c r="V45" s="23">
        <v>0</v>
      </c>
      <c r="W45" s="23">
        <v>0</v>
      </c>
    </row>
    <row r="46" spans="1:23" ht="12" customHeight="1">
      <c r="A46" s="96" t="s">
        <v>139</v>
      </c>
      <c r="B46" s="97" t="s">
        <v>140</v>
      </c>
      <c r="C46" s="88" t="s">
        <v>27</v>
      </c>
      <c r="D46" s="207">
        <f t="shared" si="41"/>
        <v>0</v>
      </c>
      <c r="E46" s="207">
        <f t="shared" si="41"/>
        <v>0</v>
      </c>
      <c r="F46" s="27">
        <f t="shared" si="5"/>
        <v>0</v>
      </c>
      <c r="G46" s="27">
        <f t="shared" si="5"/>
        <v>0</v>
      </c>
      <c r="H46" s="214"/>
      <c r="I46" s="214"/>
      <c r="J46" s="23">
        <v>0</v>
      </c>
      <c r="K46" s="23">
        <v>0</v>
      </c>
      <c r="L46" s="214"/>
      <c r="M46" s="214"/>
      <c r="N46" s="23">
        <v>0</v>
      </c>
      <c r="O46" s="23">
        <v>0</v>
      </c>
      <c r="P46" s="214"/>
      <c r="Q46" s="214"/>
      <c r="R46" s="23">
        <v>0</v>
      </c>
      <c r="S46" s="23">
        <v>0</v>
      </c>
      <c r="T46" s="214"/>
      <c r="U46" s="214"/>
      <c r="V46" s="23">
        <v>0</v>
      </c>
      <c r="W46" s="23">
        <v>0</v>
      </c>
    </row>
    <row r="47" spans="1:23" ht="12" customHeight="1">
      <c r="A47" s="96">
        <v>12</v>
      </c>
      <c r="B47" s="97" t="s">
        <v>141</v>
      </c>
      <c r="C47" s="88" t="s">
        <v>27</v>
      </c>
      <c r="D47" s="207">
        <f t="shared" si="41"/>
        <v>0</v>
      </c>
      <c r="E47" s="207">
        <f t="shared" si="41"/>
        <v>0</v>
      </c>
      <c r="F47" s="27">
        <f t="shared" si="5"/>
        <v>0</v>
      </c>
      <c r="G47" s="27">
        <f t="shared" si="5"/>
        <v>0</v>
      </c>
      <c r="H47" s="214"/>
      <c r="I47" s="214"/>
      <c r="J47" s="23">
        <v>0</v>
      </c>
      <c r="K47" s="23">
        <v>0</v>
      </c>
      <c r="L47" s="214"/>
      <c r="M47" s="214"/>
      <c r="N47" s="23">
        <v>0</v>
      </c>
      <c r="O47" s="23">
        <v>0</v>
      </c>
      <c r="P47" s="214"/>
      <c r="Q47" s="214"/>
      <c r="R47" s="23">
        <v>0</v>
      </c>
      <c r="S47" s="23">
        <v>0</v>
      </c>
      <c r="T47" s="214"/>
      <c r="U47" s="214"/>
      <c r="V47" s="23">
        <v>0</v>
      </c>
      <c r="W47" s="23">
        <v>0</v>
      </c>
    </row>
    <row r="48" spans="1:23" ht="12" customHeight="1">
      <c r="A48" s="96" t="s">
        <v>142</v>
      </c>
      <c r="B48" s="97" t="s">
        <v>388</v>
      </c>
      <c r="C48" s="88" t="s">
        <v>27</v>
      </c>
      <c r="D48" s="207">
        <f t="shared" si="41"/>
        <v>0</v>
      </c>
      <c r="E48" s="207">
        <f t="shared" si="41"/>
        <v>0</v>
      </c>
      <c r="F48" s="27">
        <f t="shared" si="5"/>
        <v>0</v>
      </c>
      <c r="G48" s="27">
        <f t="shared" si="5"/>
        <v>0</v>
      </c>
      <c r="H48" s="214"/>
      <c r="I48" s="214"/>
      <c r="J48" s="23">
        <v>0</v>
      </c>
      <c r="K48" s="23">
        <v>0</v>
      </c>
      <c r="L48" s="214"/>
      <c r="M48" s="214"/>
      <c r="N48" s="23">
        <v>0</v>
      </c>
      <c r="O48" s="23">
        <v>0</v>
      </c>
      <c r="P48" s="214"/>
      <c r="Q48" s="214"/>
      <c r="R48" s="23">
        <v>0</v>
      </c>
      <c r="S48" s="23">
        <v>0</v>
      </c>
      <c r="T48" s="214"/>
      <c r="U48" s="214"/>
      <c r="V48" s="23">
        <v>0</v>
      </c>
      <c r="W48" s="23">
        <v>0</v>
      </c>
    </row>
    <row r="49" spans="1:23" ht="12" customHeight="1">
      <c r="A49" s="96" t="s">
        <v>144</v>
      </c>
      <c r="B49" s="97" t="s">
        <v>145</v>
      </c>
      <c r="C49" s="88" t="s">
        <v>27</v>
      </c>
      <c r="D49" s="207">
        <f t="shared" si="41"/>
        <v>0</v>
      </c>
      <c r="E49" s="207">
        <f t="shared" si="41"/>
        <v>0</v>
      </c>
      <c r="F49" s="27">
        <f t="shared" si="5"/>
        <v>0</v>
      </c>
      <c r="G49" s="27">
        <f t="shared" si="5"/>
        <v>0</v>
      </c>
      <c r="H49" s="214"/>
      <c r="I49" s="214"/>
      <c r="J49" s="23">
        <v>0</v>
      </c>
      <c r="K49" s="23">
        <v>0</v>
      </c>
      <c r="L49" s="214"/>
      <c r="M49" s="214"/>
      <c r="N49" s="23">
        <v>0</v>
      </c>
      <c r="O49" s="23">
        <v>0</v>
      </c>
      <c r="P49" s="214"/>
      <c r="Q49" s="214"/>
      <c r="R49" s="23">
        <v>0</v>
      </c>
      <c r="S49" s="23">
        <v>0</v>
      </c>
      <c r="T49" s="214"/>
      <c r="U49" s="214"/>
      <c r="V49" s="23">
        <v>0</v>
      </c>
      <c r="W49" s="23">
        <v>0</v>
      </c>
    </row>
    <row r="50" spans="1:23" ht="22.5" customHeight="1">
      <c r="A50" s="96" t="s">
        <v>146</v>
      </c>
      <c r="B50" s="97" t="s">
        <v>389</v>
      </c>
      <c r="C50" s="88" t="s">
        <v>27</v>
      </c>
      <c r="D50" s="207">
        <f t="shared" si="41"/>
        <v>224816.83000000002</v>
      </c>
      <c r="E50" s="207">
        <f t="shared" si="41"/>
        <v>222388.46</v>
      </c>
      <c r="F50" s="27">
        <f t="shared" si="5"/>
        <v>323649.14</v>
      </c>
      <c r="G50" s="27">
        <f t="shared" si="5"/>
        <v>323649.14</v>
      </c>
      <c r="H50" s="214">
        <f t="shared" ref="H50:I50" si="42">SUM(H51:H54)</f>
        <v>205715.09</v>
      </c>
      <c r="I50" s="214">
        <f t="shared" si="42"/>
        <v>199407.9</v>
      </c>
      <c r="J50" s="23">
        <f>SUM(J51:J54)</f>
        <v>284901.65000000002</v>
      </c>
      <c r="K50" s="23">
        <f>SUM(K51:K54)</f>
        <v>284901.65000000002</v>
      </c>
      <c r="L50" s="214">
        <f t="shared" ref="L50:M50" si="43">SUM(L51:L54)</f>
        <v>88.94</v>
      </c>
      <c r="M50" s="214">
        <f t="shared" si="43"/>
        <v>85</v>
      </c>
      <c r="N50" s="23">
        <v>0</v>
      </c>
      <c r="O50" s="23">
        <v>0</v>
      </c>
      <c r="P50" s="214">
        <f t="shared" ref="P50:Q50" si="44">SUM(P51:P54)</f>
        <v>13341.01</v>
      </c>
      <c r="Q50" s="214">
        <f t="shared" si="44"/>
        <v>15745.7</v>
      </c>
      <c r="R50" s="23">
        <f>SUM(R51:R54)</f>
        <v>25439.26</v>
      </c>
      <c r="S50" s="23">
        <f>SUM(S51:S54)</f>
        <v>25439.26</v>
      </c>
      <c r="T50" s="214">
        <f t="shared" ref="T50:U50" si="45">SUM(T51:T54)</f>
        <v>5671.79</v>
      </c>
      <c r="U50" s="214">
        <f t="shared" si="45"/>
        <v>7149.86</v>
      </c>
      <c r="V50" s="23">
        <f>SUM(V51:V54)</f>
        <v>13308.23</v>
      </c>
      <c r="W50" s="23">
        <f>SUM(W51:W54)</f>
        <v>13308.23</v>
      </c>
    </row>
    <row r="51" spans="1:23" ht="12" customHeight="1">
      <c r="A51" s="96" t="s">
        <v>147</v>
      </c>
      <c r="B51" s="97" t="s">
        <v>3</v>
      </c>
      <c r="C51" s="88" t="s">
        <v>27</v>
      </c>
      <c r="D51" s="207">
        <f t="shared" si="41"/>
        <v>205715.09</v>
      </c>
      <c r="E51" s="207">
        <f t="shared" si="41"/>
        <v>199407.9</v>
      </c>
      <c r="F51" s="27">
        <f t="shared" si="5"/>
        <v>284901.65000000002</v>
      </c>
      <c r="G51" s="27">
        <f t="shared" si="5"/>
        <v>284901.65000000002</v>
      </c>
      <c r="H51" s="210">
        <f>[6]Д3!I45</f>
        <v>205715.09</v>
      </c>
      <c r="I51" s="217">
        <f>[6]Д3!J45</f>
        <v>199407.9</v>
      </c>
      <c r="J51" s="23">
        <v>284901.65000000002</v>
      </c>
      <c r="K51" s="23">
        <v>284901.65000000002</v>
      </c>
      <c r="L51" s="210"/>
      <c r="M51" s="210"/>
      <c r="N51" s="23">
        <v>0</v>
      </c>
      <c r="O51" s="23">
        <v>0</v>
      </c>
      <c r="P51" s="210"/>
      <c r="Q51" s="210"/>
      <c r="R51" s="23">
        <v>0</v>
      </c>
      <c r="S51" s="23">
        <v>0</v>
      </c>
      <c r="T51" s="214"/>
      <c r="U51" s="214"/>
      <c r="V51" s="23">
        <v>0</v>
      </c>
      <c r="W51" s="23">
        <v>0</v>
      </c>
    </row>
    <row r="52" spans="1:23" ht="12" customHeight="1">
      <c r="A52" s="96" t="s">
        <v>148</v>
      </c>
      <c r="B52" s="97" t="s">
        <v>330</v>
      </c>
      <c r="C52" s="88" t="s">
        <v>27</v>
      </c>
      <c r="D52" s="207">
        <f t="shared" si="41"/>
        <v>88.94</v>
      </c>
      <c r="E52" s="207">
        <f t="shared" si="41"/>
        <v>85</v>
      </c>
      <c r="F52" s="27">
        <f t="shared" si="5"/>
        <v>0</v>
      </c>
      <c r="G52" s="27">
        <f t="shared" si="5"/>
        <v>0</v>
      </c>
      <c r="H52" s="214"/>
      <c r="I52" s="214"/>
      <c r="J52" s="23">
        <v>0</v>
      </c>
      <c r="K52" s="23">
        <v>0</v>
      </c>
      <c r="L52" s="216">
        <v>88.94</v>
      </c>
      <c r="M52" s="216">
        <v>85</v>
      </c>
      <c r="N52" s="23">
        <v>0</v>
      </c>
      <c r="O52" s="23">
        <v>0</v>
      </c>
      <c r="P52" s="216"/>
      <c r="Q52" s="216"/>
      <c r="R52" s="23">
        <v>0</v>
      </c>
      <c r="S52" s="23">
        <v>0</v>
      </c>
      <c r="T52" s="214"/>
      <c r="U52" s="214"/>
      <c r="V52" s="23">
        <v>0</v>
      </c>
      <c r="W52" s="23">
        <v>0</v>
      </c>
    </row>
    <row r="53" spans="1:23" ht="12" customHeight="1">
      <c r="A53" s="96" t="s">
        <v>150</v>
      </c>
      <c r="B53" s="97" t="s">
        <v>149</v>
      </c>
      <c r="C53" s="112" t="s">
        <v>27</v>
      </c>
      <c r="D53" s="207">
        <f t="shared" si="41"/>
        <v>13341.01</v>
      </c>
      <c r="E53" s="207">
        <f t="shared" si="41"/>
        <v>15745.7</v>
      </c>
      <c r="F53" s="27">
        <f t="shared" si="5"/>
        <v>25439.26</v>
      </c>
      <c r="G53" s="27">
        <f t="shared" si="5"/>
        <v>25439.26</v>
      </c>
      <c r="H53" s="214"/>
      <c r="I53" s="214"/>
      <c r="J53" s="23">
        <v>0</v>
      </c>
      <c r="K53" s="23">
        <v>0</v>
      </c>
      <c r="L53" s="216"/>
      <c r="M53" s="216"/>
      <c r="N53" s="23">
        <v>0</v>
      </c>
      <c r="O53" s="23">
        <v>0</v>
      </c>
      <c r="P53" s="207">
        <f>[6]Д3!U45</f>
        <v>13341.01</v>
      </c>
      <c r="Q53" s="207">
        <f>[6]Д3!V45</f>
        <v>15745.7</v>
      </c>
      <c r="R53" s="23">
        <v>25439.26</v>
      </c>
      <c r="S53" s="23">
        <v>25439.26</v>
      </c>
      <c r="T53" s="214"/>
      <c r="U53" s="214"/>
      <c r="V53" s="23">
        <v>0</v>
      </c>
      <c r="W53" s="23">
        <v>0</v>
      </c>
    </row>
    <row r="54" spans="1:23" ht="12" customHeight="1">
      <c r="A54" s="96" t="s">
        <v>338</v>
      </c>
      <c r="B54" s="97" t="s">
        <v>151</v>
      </c>
      <c r="C54" s="88" t="s">
        <v>27</v>
      </c>
      <c r="D54" s="207">
        <f t="shared" si="41"/>
        <v>5671.79</v>
      </c>
      <c r="E54" s="207">
        <f t="shared" si="41"/>
        <v>7149.86</v>
      </c>
      <c r="F54" s="27">
        <f t="shared" si="5"/>
        <v>13308.23</v>
      </c>
      <c r="G54" s="27">
        <f t="shared" si="5"/>
        <v>13308.23</v>
      </c>
      <c r="H54" s="214"/>
      <c r="I54" s="214"/>
      <c r="J54" s="23">
        <v>0</v>
      </c>
      <c r="K54" s="23"/>
      <c r="L54" s="214"/>
      <c r="M54" s="214"/>
      <c r="N54" s="23">
        <v>0</v>
      </c>
      <c r="O54" s="23">
        <v>0</v>
      </c>
      <c r="P54" s="214"/>
      <c r="Q54" s="214"/>
      <c r="R54" s="23">
        <v>0</v>
      </c>
      <c r="S54" s="23">
        <v>0</v>
      </c>
      <c r="T54" s="207">
        <f>[6]Д3!Y45</f>
        <v>5671.79</v>
      </c>
      <c r="U54" s="207">
        <f>[6]Д3!Z45</f>
        <v>7149.86</v>
      </c>
      <c r="V54" s="23">
        <v>13308.23</v>
      </c>
      <c r="W54" s="23">
        <v>13308.23</v>
      </c>
    </row>
    <row r="55" spans="1:23" ht="24">
      <c r="A55" s="96">
        <v>13</v>
      </c>
      <c r="B55" s="97" t="s">
        <v>152</v>
      </c>
      <c r="C55" s="88" t="s">
        <v>27</v>
      </c>
      <c r="D55" s="207">
        <f t="shared" si="41"/>
        <v>0</v>
      </c>
      <c r="E55" s="207">
        <f t="shared" si="41"/>
        <v>0</v>
      </c>
      <c r="F55" s="27">
        <f t="shared" si="5"/>
        <v>0</v>
      </c>
      <c r="G55" s="27">
        <f t="shared" si="5"/>
        <v>0</v>
      </c>
      <c r="H55" s="214"/>
      <c r="I55" s="214"/>
      <c r="J55" s="23">
        <v>0</v>
      </c>
      <c r="K55" s="23">
        <v>0</v>
      </c>
      <c r="L55" s="214"/>
      <c r="M55" s="214"/>
      <c r="N55" s="23">
        <v>0</v>
      </c>
      <c r="O55" s="23">
        <v>0</v>
      </c>
      <c r="P55" s="214"/>
      <c r="Q55" s="214"/>
      <c r="R55" s="23">
        <v>0</v>
      </c>
      <c r="S55" s="23">
        <v>0</v>
      </c>
      <c r="T55" s="214"/>
      <c r="U55" s="214"/>
      <c r="V55" s="23">
        <v>0</v>
      </c>
      <c r="W55" s="23">
        <v>0</v>
      </c>
    </row>
    <row r="56" spans="1:23" ht="24">
      <c r="A56" s="96">
        <v>14</v>
      </c>
      <c r="B56" s="97" t="s">
        <v>153</v>
      </c>
      <c r="C56" s="88" t="s">
        <v>105</v>
      </c>
      <c r="D56" s="207">
        <f t="shared" si="41"/>
        <v>0</v>
      </c>
      <c r="E56" s="207">
        <f t="shared" si="41"/>
        <v>0</v>
      </c>
      <c r="F56" s="27">
        <f t="shared" si="5"/>
        <v>0</v>
      </c>
      <c r="G56" s="27">
        <f t="shared" si="5"/>
        <v>0</v>
      </c>
      <c r="H56" s="215"/>
      <c r="I56" s="215"/>
      <c r="J56" s="70">
        <v>0</v>
      </c>
      <c r="K56" s="70">
        <v>0</v>
      </c>
      <c r="L56" s="215"/>
      <c r="M56" s="215"/>
      <c r="N56" s="70">
        <v>0</v>
      </c>
      <c r="O56" s="70">
        <v>0</v>
      </c>
      <c r="P56" s="215"/>
      <c r="Q56" s="215"/>
      <c r="R56" s="70">
        <v>0</v>
      </c>
      <c r="S56" s="70">
        <v>0</v>
      </c>
      <c r="T56" s="215"/>
      <c r="U56" s="215"/>
      <c r="V56" s="70">
        <v>0</v>
      </c>
      <c r="W56" s="70">
        <v>0</v>
      </c>
    </row>
    <row r="57" spans="1:23">
      <c r="A57" s="102" t="s">
        <v>113</v>
      </c>
      <c r="B57" s="10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</row>
    <row r="59" spans="1:23" ht="17.25" customHeight="1">
      <c r="B59" s="25" t="s">
        <v>154</v>
      </c>
      <c r="C59" s="248" t="s">
        <v>155</v>
      </c>
      <c r="D59" s="248"/>
      <c r="E59" s="248"/>
      <c r="F59" s="248" t="s">
        <v>491</v>
      </c>
      <c r="G59" s="248"/>
    </row>
    <row r="60" spans="1:23" ht="25.5" customHeight="1">
      <c r="B60" s="26" t="s">
        <v>8</v>
      </c>
      <c r="C60" s="249" t="s">
        <v>156</v>
      </c>
      <c r="D60" s="249"/>
      <c r="E60" s="249"/>
      <c r="F60" s="249" t="s">
        <v>157</v>
      </c>
      <c r="G60" s="249"/>
    </row>
  </sheetData>
  <mergeCells count="37">
    <mergeCell ref="A6:A8"/>
    <mergeCell ref="B6:B8"/>
    <mergeCell ref="C6:C8"/>
    <mergeCell ref="D6:G6"/>
    <mergeCell ref="D7:D8"/>
    <mergeCell ref="E7:E8"/>
    <mergeCell ref="F7:F8"/>
    <mergeCell ref="G7:G8"/>
    <mergeCell ref="C59:E59"/>
    <mergeCell ref="F59:G59"/>
    <mergeCell ref="C60:E60"/>
    <mergeCell ref="F60:G60"/>
    <mergeCell ref="D1:G1"/>
    <mergeCell ref="B2:F2"/>
    <mergeCell ref="B3:F3"/>
    <mergeCell ref="B4:F4"/>
    <mergeCell ref="F5:G5"/>
    <mergeCell ref="H6:K6"/>
    <mergeCell ref="H7:H8"/>
    <mergeCell ref="I7:I8"/>
    <mergeCell ref="J7:J8"/>
    <mergeCell ref="K7:K8"/>
    <mergeCell ref="L6:O6"/>
    <mergeCell ref="L7:L8"/>
    <mergeCell ref="M7:M8"/>
    <mergeCell ref="N7:N8"/>
    <mergeCell ref="O7:O8"/>
    <mergeCell ref="T6:W6"/>
    <mergeCell ref="T7:T8"/>
    <mergeCell ref="U7:U8"/>
    <mergeCell ref="V7:V8"/>
    <mergeCell ref="W7:W8"/>
    <mergeCell ref="P6:S6"/>
    <mergeCell ref="P7:P8"/>
    <mergeCell ref="Q7:Q8"/>
    <mergeCell ref="R7:R8"/>
    <mergeCell ref="S7:S8"/>
  </mergeCells>
  <conditionalFormatting sqref="B3:F3">
    <cfRule type="cellIs" dxfId="9" priority="4" operator="equal">
      <formula>0</formula>
    </cfRule>
  </conditionalFormatting>
  <conditionalFormatting sqref="B1">
    <cfRule type="containsText" dxfId="8" priority="1" operator="containsText" text="Для корек">
      <formula>NOT(ISERROR(SEARCH("Для корек",B1)))</formula>
    </cfRule>
  </conditionalFormatting>
  <pageMargins left="0.28125" right="0.26583333333333331" top="0.25666666666666665" bottom="0.23833333333333334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W44"/>
  <sheetViews>
    <sheetView view="pageBreakPreview" zoomScale="85" zoomScaleSheetLayoutView="85" workbookViewId="0">
      <pane xSplit="3" ySplit="8" topLeftCell="D21" activePane="bottomRight" state="frozen"/>
      <selection activeCell="E13" sqref="E13"/>
      <selection pane="topRight" activeCell="E13" sqref="E13"/>
      <selection pane="bottomLeft" activeCell="E13" sqref="E13"/>
      <selection pane="bottomRight" activeCell="K42" sqref="K42"/>
    </sheetView>
  </sheetViews>
  <sheetFormatPr defaultRowHeight="15"/>
  <cols>
    <col min="1" max="1" width="5.42578125" style="3" customWidth="1"/>
    <col min="2" max="2" width="51.28515625" style="3" customWidth="1"/>
    <col min="3" max="3" width="7.5703125" style="3" customWidth="1"/>
    <col min="4" max="7" width="10.140625" style="3" customWidth="1"/>
    <col min="8" max="8" width="8.85546875" style="3" customWidth="1"/>
    <col min="9" max="9" width="7.140625" style="3" customWidth="1"/>
    <col min="10" max="10" width="11.5703125" style="3" customWidth="1"/>
    <col min="11" max="11" width="8" style="3" customWidth="1"/>
    <col min="12" max="12" width="9.140625" style="3" customWidth="1"/>
    <col min="13" max="15" width="7.140625" style="3" customWidth="1"/>
    <col min="16" max="16" width="9.85546875" style="3" customWidth="1"/>
    <col min="17" max="17" width="7.140625" style="3" customWidth="1"/>
    <col min="18" max="18" width="11" style="3" customWidth="1"/>
    <col min="19" max="20" width="9.28515625" style="3" customWidth="1"/>
    <col min="21" max="23" width="7.140625" style="3" customWidth="1"/>
    <col min="24" max="16384" width="9.140625" style="3"/>
  </cols>
  <sheetData>
    <row r="1" spans="1:23" ht="83.25" customHeight="1">
      <c r="A1" s="43"/>
      <c r="B1" s="73"/>
      <c r="C1" s="34"/>
      <c r="D1" s="263" t="s">
        <v>427</v>
      </c>
      <c r="E1" s="264"/>
      <c r="F1" s="264"/>
      <c r="G1" s="264"/>
      <c r="H1" s="10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ht="24" customHeight="1">
      <c r="A2" s="43"/>
      <c r="B2" s="227" t="s">
        <v>158</v>
      </c>
      <c r="C2" s="227"/>
      <c r="D2" s="227"/>
      <c r="E2" s="227"/>
      <c r="F2" s="227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>
      <c r="A3" s="43"/>
      <c r="B3" s="251" t="s">
        <v>490</v>
      </c>
      <c r="C3" s="252"/>
      <c r="D3" s="252"/>
      <c r="E3" s="252"/>
      <c r="F3" s="252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>
      <c r="A4" s="43"/>
      <c r="B4" s="253" t="s">
        <v>50</v>
      </c>
      <c r="C4" s="253"/>
      <c r="D4" s="253"/>
      <c r="E4" s="253"/>
      <c r="F4" s="253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3">
      <c r="A5" s="43"/>
      <c r="B5" s="34"/>
      <c r="C5" s="34"/>
      <c r="D5" s="34"/>
      <c r="E5" s="34"/>
      <c r="F5" s="254" t="s">
        <v>51</v>
      </c>
      <c r="G5" s="25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ht="24.75" customHeight="1">
      <c r="A6" s="265" t="s">
        <v>10</v>
      </c>
      <c r="B6" s="266" t="s">
        <v>11</v>
      </c>
      <c r="C6" s="267" t="s">
        <v>52</v>
      </c>
      <c r="D6" s="231" t="s">
        <v>115</v>
      </c>
      <c r="E6" s="231"/>
      <c r="F6" s="231"/>
      <c r="G6" s="231"/>
      <c r="H6" s="231" t="s">
        <v>212</v>
      </c>
      <c r="I6" s="231"/>
      <c r="J6" s="231"/>
      <c r="K6" s="231"/>
      <c r="L6" s="231" t="s">
        <v>337</v>
      </c>
      <c r="M6" s="231"/>
      <c r="N6" s="231"/>
      <c r="O6" s="231"/>
      <c r="P6" s="231" t="s">
        <v>213</v>
      </c>
      <c r="Q6" s="231"/>
      <c r="R6" s="231"/>
      <c r="S6" s="231"/>
      <c r="T6" s="231" t="s">
        <v>214</v>
      </c>
      <c r="U6" s="231"/>
      <c r="V6" s="231"/>
      <c r="W6" s="231"/>
    </row>
    <row r="7" spans="1:23" ht="45">
      <c r="A7" s="265"/>
      <c r="B7" s="266"/>
      <c r="C7" s="267"/>
      <c r="D7" s="88" t="s">
        <v>480</v>
      </c>
      <c r="E7" s="88" t="s">
        <v>476</v>
      </c>
      <c r="F7" s="88" t="s">
        <v>116</v>
      </c>
      <c r="G7" s="88" t="s">
        <v>482</v>
      </c>
      <c r="H7" s="138" t="s">
        <v>480</v>
      </c>
      <c r="I7" s="138" t="s">
        <v>476</v>
      </c>
      <c r="J7" s="138" t="s">
        <v>116</v>
      </c>
      <c r="K7" s="138" t="s">
        <v>482</v>
      </c>
      <c r="L7" s="138" t="s">
        <v>480</v>
      </c>
      <c r="M7" s="138" t="s">
        <v>476</v>
      </c>
      <c r="N7" s="138" t="s">
        <v>116</v>
      </c>
      <c r="O7" s="138" t="s">
        <v>482</v>
      </c>
      <c r="P7" s="138" t="s">
        <v>480</v>
      </c>
      <c r="Q7" s="138" t="s">
        <v>476</v>
      </c>
      <c r="R7" s="138" t="s">
        <v>116</v>
      </c>
      <c r="S7" s="138" t="s">
        <v>482</v>
      </c>
      <c r="T7" s="138" t="s">
        <v>480</v>
      </c>
      <c r="U7" s="138" t="s">
        <v>476</v>
      </c>
      <c r="V7" s="138" t="s">
        <v>116</v>
      </c>
      <c r="W7" s="138" t="s">
        <v>482</v>
      </c>
    </row>
    <row r="8" spans="1:23" ht="11.25" customHeight="1">
      <c r="A8" s="105">
        <v>1</v>
      </c>
      <c r="B8" s="105">
        <v>2</v>
      </c>
      <c r="C8" s="105">
        <v>3</v>
      </c>
      <c r="D8" s="105">
        <v>4</v>
      </c>
      <c r="E8" s="105">
        <v>5</v>
      </c>
      <c r="F8" s="105">
        <v>6</v>
      </c>
      <c r="G8" s="105">
        <v>7</v>
      </c>
      <c r="H8" s="105">
        <v>8</v>
      </c>
      <c r="I8" s="105">
        <v>9</v>
      </c>
      <c r="J8" s="105">
        <v>10</v>
      </c>
      <c r="K8" s="105">
        <v>11</v>
      </c>
      <c r="L8" s="105">
        <v>12</v>
      </c>
      <c r="M8" s="105">
        <v>13</v>
      </c>
      <c r="N8" s="105">
        <v>14</v>
      </c>
      <c r="O8" s="105">
        <v>15</v>
      </c>
      <c r="P8" s="111">
        <v>16</v>
      </c>
      <c r="Q8" s="111">
        <v>17</v>
      </c>
      <c r="R8" s="111">
        <v>18</v>
      </c>
      <c r="S8" s="111">
        <v>19</v>
      </c>
      <c r="T8" s="111">
        <v>20</v>
      </c>
      <c r="U8" s="111">
        <v>21</v>
      </c>
      <c r="V8" s="111">
        <v>22</v>
      </c>
      <c r="W8" s="111">
        <v>23</v>
      </c>
    </row>
    <row r="9" spans="1:23">
      <c r="A9" s="106">
        <v>1</v>
      </c>
      <c r="B9" s="107" t="s">
        <v>159</v>
      </c>
      <c r="C9" s="88" t="s">
        <v>58</v>
      </c>
      <c r="D9" s="207">
        <f t="shared" ref="D9:E24" si="0">H9+L9+P9+T9</f>
        <v>446.661</v>
      </c>
      <c r="E9" s="207">
        <f t="shared" si="0"/>
        <v>495.74</v>
      </c>
      <c r="F9" s="27">
        <f>J9+N9+R9+V9</f>
        <v>487.48675199999997</v>
      </c>
      <c r="G9" s="27">
        <f>K9+O9+S9+W9</f>
        <v>565.73371875999999</v>
      </c>
      <c r="H9" s="207">
        <f t="shared" ref="H9:I9" si="1">H10+H11+H12+H16</f>
        <v>407.33</v>
      </c>
      <c r="I9" s="207">
        <f t="shared" si="1"/>
        <v>443.71999999999997</v>
      </c>
      <c r="J9" s="27">
        <f>J10+J11+J12+J16</f>
        <v>427.78039999999993</v>
      </c>
      <c r="K9" s="27">
        <f>K10+K11+K12+K16</f>
        <v>496.45444399999997</v>
      </c>
      <c r="L9" s="207">
        <f t="shared" ref="L9:M9" si="2">L10+L11+L12+L16</f>
        <v>0.18099999999999999</v>
      </c>
      <c r="M9" s="207">
        <f t="shared" si="2"/>
        <v>0.18000000000000002</v>
      </c>
      <c r="N9" s="27">
        <f>N10+N11+N12+N16</f>
        <v>1.5007999999999999</v>
      </c>
      <c r="O9" s="27">
        <f>O10+O11+O12+O16</f>
        <v>1.740713</v>
      </c>
      <c r="P9" s="207">
        <f t="shared" ref="P9:Q9" si="3">P10+P11+P12+P16</f>
        <v>27.419999999999998</v>
      </c>
      <c r="Q9" s="207">
        <f t="shared" si="3"/>
        <v>35.349999999999994</v>
      </c>
      <c r="R9" s="27">
        <f>R10+R11+R12+R16</f>
        <v>38.219340000000003</v>
      </c>
      <c r="S9" s="27">
        <f>S10+S11+S12+S16</f>
        <v>44.346228190000005</v>
      </c>
      <c r="T9" s="207">
        <f t="shared" ref="T9:U9" si="4">T10+T11+T12+T16</f>
        <v>11.729999999999999</v>
      </c>
      <c r="U9" s="207">
        <f t="shared" si="4"/>
        <v>16.489999999999998</v>
      </c>
      <c r="V9" s="27">
        <f>V10+V11+V12+V16</f>
        <v>19.986212000000002</v>
      </c>
      <c r="W9" s="27">
        <f>W10+W11+W12+W16</f>
        <v>23.192333570000002</v>
      </c>
    </row>
    <row r="10" spans="1:23">
      <c r="A10" s="106" t="s">
        <v>28</v>
      </c>
      <c r="B10" s="107" t="s">
        <v>160</v>
      </c>
      <c r="C10" s="88" t="s">
        <v>58</v>
      </c>
      <c r="D10" s="207">
        <f t="shared" si="0"/>
        <v>4.5100000000000007</v>
      </c>
      <c r="E10" s="207">
        <f t="shared" si="0"/>
        <v>3.3799999999999994</v>
      </c>
      <c r="F10" s="27">
        <f t="shared" ref="F10:G40" si="5">J10+N10+R10+V10</f>
        <v>5.52</v>
      </c>
      <c r="G10" s="27">
        <f t="shared" si="5"/>
        <v>5.52</v>
      </c>
      <c r="H10" s="207">
        <v>4.12</v>
      </c>
      <c r="I10" s="207">
        <v>3.03</v>
      </c>
      <c r="J10" s="20">
        <v>4.84</v>
      </c>
      <c r="K10" s="20">
        <v>4.84</v>
      </c>
      <c r="L10" s="207">
        <v>0</v>
      </c>
      <c r="M10" s="207">
        <v>0</v>
      </c>
      <c r="N10" s="20">
        <v>0.02</v>
      </c>
      <c r="O10" s="20">
        <v>0.02</v>
      </c>
      <c r="P10" s="207">
        <v>0.27</v>
      </c>
      <c r="Q10" s="207">
        <v>0.24</v>
      </c>
      <c r="R10" s="20">
        <v>0.43</v>
      </c>
      <c r="S10" s="20">
        <v>0.43</v>
      </c>
      <c r="T10" s="207">
        <v>0.12</v>
      </c>
      <c r="U10" s="207">
        <v>0.11</v>
      </c>
      <c r="V10" s="20">
        <v>0.23</v>
      </c>
      <c r="W10" s="20">
        <v>0.23</v>
      </c>
    </row>
    <row r="11" spans="1:23">
      <c r="A11" s="106" t="s">
        <v>30</v>
      </c>
      <c r="B11" s="107" t="s">
        <v>161</v>
      </c>
      <c r="C11" s="88" t="s">
        <v>58</v>
      </c>
      <c r="D11" s="207">
        <f t="shared" si="0"/>
        <v>298.84999999999997</v>
      </c>
      <c r="E11" s="207">
        <f t="shared" si="0"/>
        <v>358.83000000000004</v>
      </c>
      <c r="F11" s="27">
        <f t="shared" si="5"/>
        <v>371.13999999999993</v>
      </c>
      <c r="G11" s="27">
        <f t="shared" si="5"/>
        <v>435.15583200000009</v>
      </c>
      <c r="H11" s="207">
        <v>273.02</v>
      </c>
      <c r="I11" s="207">
        <v>321.74</v>
      </c>
      <c r="J11" s="20">
        <v>325.7</v>
      </c>
      <c r="K11" s="20">
        <f>325.7*1.1725</f>
        <v>381.88325000000003</v>
      </c>
      <c r="L11" s="207">
        <v>0.12</v>
      </c>
      <c r="M11" s="207">
        <v>0.14000000000000001</v>
      </c>
      <c r="N11" s="20">
        <v>1.1399999999999999</v>
      </c>
      <c r="O11" s="20">
        <f>1.14*1.1725</f>
        <v>1.3366499999999999</v>
      </c>
      <c r="P11" s="207">
        <v>17.71</v>
      </c>
      <c r="Q11" s="207">
        <v>25.41</v>
      </c>
      <c r="R11" s="20">
        <v>29.09</v>
      </c>
      <c r="S11" s="20">
        <f>29.09*1.1723</f>
        <v>34.102207</v>
      </c>
      <c r="T11" s="207">
        <v>8</v>
      </c>
      <c r="U11" s="207">
        <v>11.54</v>
      </c>
      <c r="V11" s="20">
        <v>15.21</v>
      </c>
      <c r="W11" s="20">
        <f>15.21*1.1725</f>
        <v>17.833725000000001</v>
      </c>
    </row>
    <row r="12" spans="1:23">
      <c r="A12" s="106" t="s">
        <v>70</v>
      </c>
      <c r="B12" s="107" t="s">
        <v>162</v>
      </c>
      <c r="C12" s="88" t="s">
        <v>58</v>
      </c>
      <c r="D12" s="207">
        <f t="shared" si="0"/>
        <v>141.761</v>
      </c>
      <c r="E12" s="207">
        <f t="shared" si="0"/>
        <v>131.9</v>
      </c>
      <c r="F12" s="27">
        <f t="shared" si="5"/>
        <v>109.77080000000001</v>
      </c>
      <c r="G12" s="27">
        <f t="shared" si="5"/>
        <v>123.85428304000001</v>
      </c>
      <c r="H12" s="207">
        <f t="shared" ref="H12:I12" si="6">SUM(H13:H15)</f>
        <v>128.78</v>
      </c>
      <c r="I12" s="207">
        <f t="shared" si="6"/>
        <v>117.5</v>
      </c>
      <c r="J12" s="27">
        <f>SUM(J13:J15)</f>
        <v>96.313999999999993</v>
      </c>
      <c r="K12" s="27">
        <f>SUM(K13:K15)</f>
        <v>108.67431500000001</v>
      </c>
      <c r="L12" s="207">
        <f t="shared" ref="L12:M12" si="7">SUM(L13:L15)</f>
        <v>6.0999999999999999E-2</v>
      </c>
      <c r="M12" s="207">
        <f t="shared" si="7"/>
        <v>0.04</v>
      </c>
      <c r="N12" s="27">
        <f>SUM(N13:N15)</f>
        <v>0.34079999999999999</v>
      </c>
      <c r="O12" s="27">
        <f>SUM(O13:O15)</f>
        <v>0.38406299999999999</v>
      </c>
      <c r="P12" s="207">
        <f t="shared" ref="P12:Q12" si="8">SUM(P13:P15)</f>
        <v>9.35</v>
      </c>
      <c r="Q12" s="207">
        <f t="shared" si="8"/>
        <v>9.58</v>
      </c>
      <c r="R12" s="27">
        <f>SUM(R13:R15)</f>
        <v>8.6097999999999999</v>
      </c>
      <c r="S12" s="27">
        <f>SUM(S13:S15)</f>
        <v>9.7124855399999994</v>
      </c>
      <c r="T12" s="207">
        <f t="shared" ref="T12:U12" si="9">SUM(T13:T15)</f>
        <v>3.5700000000000003</v>
      </c>
      <c r="U12" s="207">
        <f t="shared" si="9"/>
        <v>4.78</v>
      </c>
      <c r="V12" s="27">
        <f>SUM(V13:V15)</f>
        <v>4.5061999999999998</v>
      </c>
      <c r="W12" s="27">
        <f>SUM(W13:W15)</f>
        <v>5.0834194999999998</v>
      </c>
    </row>
    <row r="13" spans="1:23">
      <c r="A13" s="106" t="s">
        <v>72</v>
      </c>
      <c r="B13" s="107" t="s">
        <v>73</v>
      </c>
      <c r="C13" s="88" t="s">
        <v>58</v>
      </c>
      <c r="D13" s="207">
        <f t="shared" si="0"/>
        <v>111.15000000000002</v>
      </c>
      <c r="E13" s="207">
        <f t="shared" si="0"/>
        <v>79.510000000000005</v>
      </c>
      <c r="F13" s="27">
        <f t="shared" si="5"/>
        <v>81.65079999999999</v>
      </c>
      <c r="G13" s="27">
        <f t="shared" si="5"/>
        <v>95.734283039999994</v>
      </c>
      <c r="H13" s="207">
        <v>101.54</v>
      </c>
      <c r="I13" s="207">
        <v>71.290000000000006</v>
      </c>
      <c r="J13" s="20">
        <f>J11*0.22</f>
        <v>71.653999999999996</v>
      </c>
      <c r="K13" s="20">
        <f>K11*0.22</f>
        <v>84.014315000000011</v>
      </c>
      <c r="L13" s="207">
        <v>0.04</v>
      </c>
      <c r="M13" s="207">
        <v>0.03</v>
      </c>
      <c r="N13" s="20">
        <f>N11*0.22</f>
        <v>0.25079999999999997</v>
      </c>
      <c r="O13" s="20">
        <f>O11*0.22</f>
        <v>0.29406299999999996</v>
      </c>
      <c r="P13" s="207">
        <v>6.59</v>
      </c>
      <c r="Q13" s="207">
        <v>5.63</v>
      </c>
      <c r="R13" s="20">
        <f>R11*0.22</f>
        <v>6.3997999999999999</v>
      </c>
      <c r="S13" s="20">
        <f>S11*0.22</f>
        <v>7.5024855400000003</v>
      </c>
      <c r="T13" s="207">
        <v>2.98</v>
      </c>
      <c r="U13" s="207">
        <v>2.56</v>
      </c>
      <c r="V13" s="20">
        <f>V11*0.22</f>
        <v>3.3462000000000001</v>
      </c>
      <c r="W13" s="20">
        <f>W11*0.22</f>
        <v>3.9234195000000001</v>
      </c>
    </row>
    <row r="14" spans="1:23">
      <c r="A14" s="106" t="s">
        <v>74</v>
      </c>
      <c r="B14" s="107" t="s">
        <v>163</v>
      </c>
      <c r="C14" s="88" t="s">
        <v>58</v>
      </c>
      <c r="D14" s="207">
        <f t="shared" si="0"/>
        <v>3.641</v>
      </c>
      <c r="E14" s="207">
        <f t="shared" si="0"/>
        <v>3.58</v>
      </c>
      <c r="F14" s="27">
        <f t="shared" si="5"/>
        <v>3.7899999999999996</v>
      </c>
      <c r="G14" s="27">
        <f t="shared" si="5"/>
        <v>3.7899999999999996</v>
      </c>
      <c r="H14" s="207">
        <v>3.32</v>
      </c>
      <c r="I14" s="207">
        <v>3.21</v>
      </c>
      <c r="J14" s="20">
        <v>3.32</v>
      </c>
      <c r="K14" s="20">
        <v>3.32</v>
      </c>
      <c r="L14" s="207">
        <v>1E-3</v>
      </c>
      <c r="M14" s="207">
        <v>0</v>
      </c>
      <c r="N14" s="20">
        <v>0.01</v>
      </c>
      <c r="O14" s="20">
        <v>0.01</v>
      </c>
      <c r="P14" s="207">
        <v>0.22</v>
      </c>
      <c r="Q14" s="207">
        <v>0.25</v>
      </c>
      <c r="R14" s="20">
        <v>0.3</v>
      </c>
      <c r="S14" s="20">
        <v>0.3</v>
      </c>
      <c r="T14" s="207">
        <v>0.1</v>
      </c>
      <c r="U14" s="207">
        <v>0.12</v>
      </c>
      <c r="V14" s="20">
        <v>0.16</v>
      </c>
      <c r="W14" s="20">
        <v>0.16</v>
      </c>
    </row>
    <row r="15" spans="1:23">
      <c r="A15" s="106" t="s">
        <v>76</v>
      </c>
      <c r="B15" s="107" t="s">
        <v>77</v>
      </c>
      <c r="C15" s="88" t="s">
        <v>58</v>
      </c>
      <c r="D15" s="207">
        <f t="shared" si="0"/>
        <v>26.97</v>
      </c>
      <c r="E15" s="207">
        <f t="shared" si="0"/>
        <v>48.81</v>
      </c>
      <c r="F15" s="27">
        <f t="shared" si="5"/>
        <v>24.33</v>
      </c>
      <c r="G15" s="27">
        <f t="shared" si="5"/>
        <v>24.33</v>
      </c>
      <c r="H15" s="207">
        <v>23.92</v>
      </c>
      <c r="I15" s="207">
        <v>43</v>
      </c>
      <c r="J15" s="20">
        <v>21.34</v>
      </c>
      <c r="K15" s="20">
        <v>21.34</v>
      </c>
      <c r="L15" s="207">
        <v>0.02</v>
      </c>
      <c r="M15" s="207">
        <v>0.01</v>
      </c>
      <c r="N15" s="20">
        <v>0.08</v>
      </c>
      <c r="O15" s="20">
        <v>0.08</v>
      </c>
      <c r="P15" s="207">
        <v>2.54</v>
      </c>
      <c r="Q15" s="207">
        <v>3.7</v>
      </c>
      <c r="R15" s="20">
        <v>1.91</v>
      </c>
      <c r="S15" s="20">
        <v>1.91</v>
      </c>
      <c r="T15" s="207">
        <v>0.49</v>
      </c>
      <c r="U15" s="207">
        <v>2.1</v>
      </c>
      <c r="V15" s="20">
        <v>1</v>
      </c>
      <c r="W15" s="20">
        <v>1</v>
      </c>
    </row>
    <row r="16" spans="1:23">
      <c r="A16" s="106" t="s">
        <v>78</v>
      </c>
      <c r="B16" s="107" t="s">
        <v>125</v>
      </c>
      <c r="C16" s="88" t="s">
        <v>58</v>
      </c>
      <c r="D16" s="207">
        <f t="shared" si="0"/>
        <v>1.54</v>
      </c>
      <c r="E16" s="207">
        <f t="shared" si="0"/>
        <v>1.6300000000000001</v>
      </c>
      <c r="F16" s="27">
        <f t="shared" si="5"/>
        <v>1.055952</v>
      </c>
      <c r="G16" s="27">
        <f t="shared" si="5"/>
        <v>1.20360372</v>
      </c>
      <c r="H16" s="207">
        <f t="shared" ref="H16:I16" si="10">SUM(H17:H19)</f>
        <v>1.41</v>
      </c>
      <c r="I16" s="207">
        <f t="shared" si="10"/>
        <v>1.45</v>
      </c>
      <c r="J16" s="27">
        <f>SUM(J17:J19)</f>
        <v>0.9264</v>
      </c>
      <c r="K16" s="27">
        <f>SUM(K17:K19)</f>
        <v>1.0568790000000001</v>
      </c>
      <c r="L16" s="207">
        <f t="shared" ref="L16:M16" si="11">SUM(L17:L19)</f>
        <v>0</v>
      </c>
      <c r="M16" s="207">
        <f t="shared" si="11"/>
        <v>0</v>
      </c>
      <c r="N16" s="27">
        <f>SUM(N17:N19)</f>
        <v>0</v>
      </c>
      <c r="O16" s="27">
        <f>SUM(O17:O19)</f>
        <v>0</v>
      </c>
      <c r="P16" s="207">
        <f t="shared" ref="P16:Q16" si="12">SUM(P17:P19)</f>
        <v>9.0000000000000011E-2</v>
      </c>
      <c r="Q16" s="207">
        <f t="shared" si="12"/>
        <v>0.12000000000000001</v>
      </c>
      <c r="R16" s="27">
        <f>SUM(R17:R19)</f>
        <v>8.9540000000000008E-2</v>
      </c>
      <c r="S16" s="27">
        <f>SUM(S17:S19)</f>
        <v>0.10153565000000001</v>
      </c>
      <c r="T16" s="207">
        <f t="shared" ref="T16:U16" si="13">SUM(T17:T19)</f>
        <v>0.04</v>
      </c>
      <c r="U16" s="207">
        <f t="shared" si="13"/>
        <v>6.0000000000000005E-2</v>
      </c>
      <c r="V16" s="27">
        <f>SUM(V17:V19)</f>
        <v>4.0011999999999999E-2</v>
      </c>
      <c r="W16" s="27">
        <f>SUM(W17:W19)</f>
        <v>4.5189070000000005E-2</v>
      </c>
    </row>
    <row r="17" spans="1:23">
      <c r="A17" s="106" t="s">
        <v>80</v>
      </c>
      <c r="B17" s="107" t="s">
        <v>164</v>
      </c>
      <c r="C17" s="88" t="s">
        <v>58</v>
      </c>
      <c r="D17" s="207">
        <f t="shared" si="0"/>
        <v>0.91</v>
      </c>
      <c r="E17" s="207">
        <f t="shared" si="0"/>
        <v>1.1000000000000001</v>
      </c>
      <c r="F17" s="27">
        <f t="shared" si="5"/>
        <v>0.7016</v>
      </c>
      <c r="G17" s="27">
        <f t="shared" si="5"/>
        <v>0.82262600000000008</v>
      </c>
      <c r="H17" s="207">
        <v>0.84</v>
      </c>
      <c r="I17" s="207">
        <v>0.98</v>
      </c>
      <c r="J17" s="20">
        <v>0.62</v>
      </c>
      <c r="K17" s="20">
        <f>0.62*1.1725</f>
        <v>0.7269500000000001</v>
      </c>
      <c r="L17" s="207">
        <v>0</v>
      </c>
      <c r="M17" s="207">
        <v>0</v>
      </c>
      <c r="N17" s="20">
        <v>0</v>
      </c>
      <c r="O17" s="20">
        <v>0</v>
      </c>
      <c r="P17" s="207">
        <v>0.05</v>
      </c>
      <c r="Q17" s="207">
        <v>0.08</v>
      </c>
      <c r="R17" s="20">
        <v>5.7000000000000002E-2</v>
      </c>
      <c r="S17" s="20">
        <f>0.057*1.1725</f>
        <v>6.6832500000000003E-2</v>
      </c>
      <c r="T17" s="207">
        <v>0.02</v>
      </c>
      <c r="U17" s="207">
        <v>0.04</v>
      </c>
      <c r="V17" s="20">
        <v>2.46E-2</v>
      </c>
      <c r="W17" s="20">
        <f>0.0246*1.1725</f>
        <v>2.8843500000000001E-2</v>
      </c>
    </row>
    <row r="18" spans="1:23">
      <c r="A18" s="106" t="s">
        <v>82</v>
      </c>
      <c r="B18" s="107" t="s">
        <v>83</v>
      </c>
      <c r="C18" s="88" t="s">
        <v>58</v>
      </c>
      <c r="D18" s="207">
        <f t="shared" si="0"/>
        <v>0.30000000000000004</v>
      </c>
      <c r="E18" s="207">
        <f t="shared" si="0"/>
        <v>0.22</v>
      </c>
      <c r="F18" s="27">
        <f t="shared" si="5"/>
        <v>0.15435199999999999</v>
      </c>
      <c r="G18" s="27">
        <f t="shared" si="5"/>
        <v>0.18097772000000001</v>
      </c>
      <c r="H18" s="207">
        <v>0.27</v>
      </c>
      <c r="I18" s="207">
        <v>0.19</v>
      </c>
      <c r="J18" s="20">
        <f>J17*0.22</f>
        <v>0.13639999999999999</v>
      </c>
      <c r="K18" s="20">
        <f>K17*0.22</f>
        <v>0.15992900000000002</v>
      </c>
      <c r="L18" s="207">
        <v>0</v>
      </c>
      <c r="M18" s="207">
        <v>0</v>
      </c>
      <c r="N18" s="20">
        <v>0</v>
      </c>
      <c r="O18" s="20">
        <v>0</v>
      </c>
      <c r="P18" s="207">
        <v>0.02</v>
      </c>
      <c r="Q18" s="207">
        <v>0.02</v>
      </c>
      <c r="R18" s="20">
        <f>R17*0.22</f>
        <v>1.2540000000000001E-2</v>
      </c>
      <c r="S18" s="20">
        <f>S17*0.22</f>
        <v>1.470315E-2</v>
      </c>
      <c r="T18" s="207">
        <v>0.01</v>
      </c>
      <c r="U18" s="207">
        <v>0.01</v>
      </c>
      <c r="V18" s="20">
        <f>V17*0.22</f>
        <v>5.4120000000000001E-3</v>
      </c>
      <c r="W18" s="20">
        <f>W17*0.22</f>
        <v>6.34557E-3</v>
      </c>
    </row>
    <row r="19" spans="1:23">
      <c r="A19" s="106" t="s">
        <v>84</v>
      </c>
      <c r="B19" s="107" t="s">
        <v>85</v>
      </c>
      <c r="C19" s="88" t="s">
        <v>58</v>
      </c>
      <c r="D19" s="207">
        <f t="shared" si="0"/>
        <v>0.33</v>
      </c>
      <c r="E19" s="207">
        <f t="shared" si="0"/>
        <v>0.31000000000000005</v>
      </c>
      <c r="F19" s="27">
        <f t="shared" si="5"/>
        <v>0.2</v>
      </c>
      <c r="G19" s="27">
        <f t="shared" si="5"/>
        <v>0.2</v>
      </c>
      <c r="H19" s="207">
        <v>0.3</v>
      </c>
      <c r="I19" s="207">
        <v>0.28000000000000003</v>
      </c>
      <c r="J19" s="20">
        <v>0.17</v>
      </c>
      <c r="K19" s="20">
        <v>0.17</v>
      </c>
      <c r="L19" s="207">
        <v>0</v>
      </c>
      <c r="M19" s="207">
        <v>0</v>
      </c>
      <c r="N19" s="20">
        <v>0</v>
      </c>
      <c r="O19" s="20">
        <v>0</v>
      </c>
      <c r="P19" s="207">
        <v>0.02</v>
      </c>
      <c r="Q19" s="207">
        <v>0.02</v>
      </c>
      <c r="R19" s="20">
        <v>0.02</v>
      </c>
      <c r="S19" s="20">
        <v>0.02</v>
      </c>
      <c r="T19" s="207">
        <v>0.01</v>
      </c>
      <c r="U19" s="207">
        <v>0.01</v>
      </c>
      <c r="V19" s="20">
        <v>0.01</v>
      </c>
      <c r="W19" s="20">
        <v>0.01</v>
      </c>
    </row>
    <row r="20" spans="1:23">
      <c r="A20" s="106">
        <v>2</v>
      </c>
      <c r="B20" s="107" t="s">
        <v>126</v>
      </c>
      <c r="C20" s="88" t="s">
        <v>58</v>
      </c>
      <c r="D20" s="207">
        <f t="shared" si="0"/>
        <v>8.802999999999999</v>
      </c>
      <c r="E20" s="207">
        <f t="shared" si="0"/>
        <v>12.65</v>
      </c>
      <c r="F20" s="27">
        <f t="shared" si="5"/>
        <v>9.1739999999999995</v>
      </c>
      <c r="G20" s="27">
        <f t="shared" si="5"/>
        <v>10.585601</v>
      </c>
      <c r="H20" s="207">
        <f t="shared" ref="H20:I20" si="14">SUM(H21:H23)</f>
        <v>8.0399999999999991</v>
      </c>
      <c r="I20" s="207">
        <f t="shared" si="14"/>
        <v>11.34</v>
      </c>
      <c r="J20" s="27">
        <f>SUM(J21:J23)</f>
        <v>8.0657999999999994</v>
      </c>
      <c r="K20" s="27">
        <f>SUM(K21:K23)</f>
        <v>9.3053505000000012</v>
      </c>
      <c r="L20" s="207">
        <f t="shared" ref="L20:M20" si="15">SUM(L21:L23)</f>
        <v>3.0000000000000001E-3</v>
      </c>
      <c r="M20" s="207">
        <f t="shared" si="15"/>
        <v>0.01</v>
      </c>
      <c r="N20" s="27">
        <f>SUM(N21:N23)</f>
        <v>2.4400000000000002E-2</v>
      </c>
      <c r="O20" s="27">
        <f>SUM(O21:O23)</f>
        <v>2.8609000000000002E-2</v>
      </c>
      <c r="P20" s="207">
        <f t="shared" ref="P20:Q20" si="16">SUM(P21:P23)</f>
        <v>0.52</v>
      </c>
      <c r="Q20" s="207">
        <f t="shared" si="16"/>
        <v>0.9</v>
      </c>
      <c r="R20" s="27">
        <f>SUM(R21:R23)</f>
        <v>0.71440000000000003</v>
      </c>
      <c r="S20" s="27">
        <f>SUM(S21:S23)</f>
        <v>0.82542000000000004</v>
      </c>
      <c r="T20" s="207">
        <f t="shared" ref="T20:U20" si="17">SUM(T21:T23)</f>
        <v>0.24</v>
      </c>
      <c r="U20" s="207">
        <f t="shared" si="17"/>
        <v>0.4</v>
      </c>
      <c r="V20" s="27">
        <f>SUM(V21:V23)</f>
        <v>0.36940000000000001</v>
      </c>
      <c r="W20" s="27">
        <f>SUM(W21:W23)</f>
        <v>0.42622150000000003</v>
      </c>
    </row>
    <row r="21" spans="1:23">
      <c r="A21" s="106" t="s">
        <v>33</v>
      </c>
      <c r="B21" s="107" t="s">
        <v>81</v>
      </c>
      <c r="C21" s="88" t="s">
        <v>58</v>
      </c>
      <c r="D21" s="207">
        <f t="shared" si="0"/>
        <v>5.6719999999999997</v>
      </c>
      <c r="E21" s="207">
        <f t="shared" si="0"/>
        <v>8.7799999999999994</v>
      </c>
      <c r="F21" s="27">
        <f t="shared" si="5"/>
        <v>6.6999999999999993</v>
      </c>
      <c r="G21" s="27">
        <f t="shared" si="5"/>
        <v>7.857050000000001</v>
      </c>
      <c r="H21" s="207">
        <v>5.18</v>
      </c>
      <c r="I21" s="207">
        <v>7.87</v>
      </c>
      <c r="J21" s="20">
        <v>5.89</v>
      </c>
      <c r="K21" s="20">
        <f>5.89*1.1725</f>
        <v>6.9060250000000005</v>
      </c>
      <c r="L21" s="207">
        <v>2E-3</v>
      </c>
      <c r="M21" s="207">
        <v>0.01</v>
      </c>
      <c r="N21" s="20">
        <v>0.02</v>
      </c>
      <c r="O21" s="20">
        <f>0.02*1.1725</f>
        <v>2.3450000000000002E-2</v>
      </c>
      <c r="P21" s="207">
        <v>0.34</v>
      </c>
      <c r="Q21" s="207">
        <v>0.62</v>
      </c>
      <c r="R21" s="20">
        <v>0.52</v>
      </c>
      <c r="S21" s="20">
        <f>0.52*1.175</f>
        <v>0.6110000000000001</v>
      </c>
      <c r="T21" s="207">
        <v>0.15</v>
      </c>
      <c r="U21" s="207">
        <v>0.28000000000000003</v>
      </c>
      <c r="V21" s="20">
        <v>0.27</v>
      </c>
      <c r="W21" s="20">
        <f>0.27*1.1725</f>
        <v>0.31657500000000005</v>
      </c>
    </row>
    <row r="22" spans="1:23">
      <c r="A22" s="106" t="s">
        <v>35</v>
      </c>
      <c r="B22" s="107" t="s">
        <v>87</v>
      </c>
      <c r="C22" s="88" t="s">
        <v>58</v>
      </c>
      <c r="D22" s="207">
        <f t="shared" si="0"/>
        <v>2.081</v>
      </c>
      <c r="E22" s="207">
        <f t="shared" si="0"/>
        <v>1.94</v>
      </c>
      <c r="F22" s="27">
        <f t="shared" si="5"/>
        <v>1.4739999999999998</v>
      </c>
      <c r="G22" s="27">
        <f t="shared" si="5"/>
        <v>1.7285509999999999</v>
      </c>
      <c r="H22" s="207">
        <v>1.9</v>
      </c>
      <c r="I22" s="207">
        <v>1.74</v>
      </c>
      <c r="J22" s="20">
        <f>J21*0.22</f>
        <v>1.2957999999999998</v>
      </c>
      <c r="K22" s="20">
        <f>K21*0.22</f>
        <v>1.5193255000000001</v>
      </c>
      <c r="L22" s="207">
        <v>1E-3</v>
      </c>
      <c r="M22" s="207">
        <v>0</v>
      </c>
      <c r="N22" s="20">
        <f>N21*0.22</f>
        <v>4.4000000000000003E-3</v>
      </c>
      <c r="O22" s="20">
        <f>O21*0.22</f>
        <v>5.1590000000000004E-3</v>
      </c>
      <c r="P22" s="207">
        <v>0.12</v>
      </c>
      <c r="Q22" s="207">
        <v>0.14000000000000001</v>
      </c>
      <c r="R22" s="20">
        <f>R21*0.22</f>
        <v>0.1144</v>
      </c>
      <c r="S22" s="20">
        <f>S21*0.22</f>
        <v>0.13442000000000001</v>
      </c>
      <c r="T22" s="207">
        <v>0.06</v>
      </c>
      <c r="U22" s="207">
        <v>0.06</v>
      </c>
      <c r="V22" s="20">
        <f>V21*0.22</f>
        <v>5.9400000000000001E-2</v>
      </c>
      <c r="W22" s="20">
        <f>W21*0.22</f>
        <v>6.9646500000000014E-2</v>
      </c>
    </row>
    <row r="23" spans="1:23">
      <c r="A23" s="106" t="s">
        <v>88</v>
      </c>
      <c r="B23" s="107" t="s">
        <v>85</v>
      </c>
      <c r="C23" s="88" t="s">
        <v>58</v>
      </c>
      <c r="D23" s="207">
        <f t="shared" si="0"/>
        <v>1.05</v>
      </c>
      <c r="E23" s="207">
        <f t="shared" si="0"/>
        <v>1.9300000000000002</v>
      </c>
      <c r="F23" s="27">
        <f t="shared" si="5"/>
        <v>1</v>
      </c>
      <c r="G23" s="27">
        <f t="shared" si="5"/>
        <v>1</v>
      </c>
      <c r="H23" s="207">
        <v>0.96</v>
      </c>
      <c r="I23" s="207">
        <v>1.73</v>
      </c>
      <c r="J23" s="20">
        <v>0.88</v>
      </c>
      <c r="K23" s="20">
        <v>0.88</v>
      </c>
      <c r="L23" s="207">
        <v>0</v>
      </c>
      <c r="M23" s="207">
        <v>0</v>
      </c>
      <c r="N23" s="20">
        <v>0</v>
      </c>
      <c r="O23" s="20">
        <v>0</v>
      </c>
      <c r="P23" s="207">
        <v>0.06</v>
      </c>
      <c r="Q23" s="207">
        <v>0.14000000000000001</v>
      </c>
      <c r="R23" s="20">
        <v>0.08</v>
      </c>
      <c r="S23" s="20">
        <v>0.08</v>
      </c>
      <c r="T23" s="207">
        <v>0.03</v>
      </c>
      <c r="U23" s="207">
        <v>0.06</v>
      </c>
      <c r="V23" s="20">
        <v>0.04</v>
      </c>
      <c r="W23" s="20">
        <v>0.04</v>
      </c>
    </row>
    <row r="24" spans="1:23">
      <c r="A24" s="106" t="s">
        <v>378</v>
      </c>
      <c r="B24" s="107" t="s">
        <v>165</v>
      </c>
      <c r="C24" s="88" t="s">
        <v>58</v>
      </c>
      <c r="D24" s="207">
        <f t="shared" si="0"/>
        <v>0</v>
      </c>
      <c r="E24" s="207">
        <f t="shared" si="0"/>
        <v>0</v>
      </c>
      <c r="F24" s="27">
        <f t="shared" si="5"/>
        <v>0</v>
      </c>
      <c r="G24" s="27">
        <f t="shared" si="5"/>
        <v>0</v>
      </c>
      <c r="H24" s="210">
        <v>0</v>
      </c>
      <c r="I24" s="210">
        <v>0</v>
      </c>
      <c r="J24" s="20">
        <v>0</v>
      </c>
      <c r="K24" s="20">
        <v>0</v>
      </c>
      <c r="L24" s="210"/>
      <c r="M24" s="210"/>
      <c r="N24" s="20">
        <v>0</v>
      </c>
      <c r="O24" s="20">
        <v>0</v>
      </c>
      <c r="P24" s="210">
        <v>0</v>
      </c>
      <c r="Q24" s="210">
        <v>0</v>
      </c>
      <c r="R24" s="20">
        <v>0</v>
      </c>
      <c r="S24" s="20">
        <v>0</v>
      </c>
      <c r="T24" s="210">
        <v>0</v>
      </c>
      <c r="U24" s="210">
        <v>0</v>
      </c>
      <c r="V24" s="20">
        <v>0</v>
      </c>
      <c r="W24" s="20">
        <v>0</v>
      </c>
    </row>
    <row r="25" spans="1:23">
      <c r="A25" s="106" t="s">
        <v>379</v>
      </c>
      <c r="B25" s="107" t="s">
        <v>5</v>
      </c>
      <c r="C25" s="88" t="s">
        <v>58</v>
      </c>
      <c r="D25" s="207">
        <f t="shared" ref="D25:E34" si="18">H25+L25+P25+T25</f>
        <v>0</v>
      </c>
      <c r="E25" s="207">
        <f t="shared" si="18"/>
        <v>0</v>
      </c>
      <c r="F25" s="27">
        <f t="shared" si="5"/>
        <v>0</v>
      </c>
      <c r="G25" s="27">
        <f t="shared" si="5"/>
        <v>0</v>
      </c>
      <c r="H25" s="210">
        <v>0</v>
      </c>
      <c r="I25" s="210">
        <v>0</v>
      </c>
      <c r="J25" s="20">
        <v>0</v>
      </c>
      <c r="K25" s="20">
        <v>0</v>
      </c>
      <c r="L25" s="210"/>
      <c r="M25" s="210"/>
      <c r="N25" s="20">
        <v>0</v>
      </c>
      <c r="O25" s="20">
        <v>0</v>
      </c>
      <c r="P25" s="210">
        <v>0</v>
      </c>
      <c r="Q25" s="210">
        <v>0</v>
      </c>
      <c r="R25" s="20">
        <v>0</v>
      </c>
      <c r="S25" s="20">
        <v>0</v>
      </c>
      <c r="T25" s="210">
        <v>0</v>
      </c>
      <c r="U25" s="210">
        <v>0</v>
      </c>
      <c r="V25" s="20">
        <v>0</v>
      </c>
      <c r="W25" s="20">
        <v>0</v>
      </c>
    </row>
    <row r="26" spans="1:23" s="16" customFormat="1">
      <c r="A26" s="108" t="s">
        <v>345</v>
      </c>
      <c r="B26" s="109" t="s">
        <v>92</v>
      </c>
      <c r="C26" s="94" t="s">
        <v>58</v>
      </c>
      <c r="D26" s="207">
        <f t="shared" si="18"/>
        <v>455.46400000000006</v>
      </c>
      <c r="E26" s="207">
        <f t="shared" si="18"/>
        <v>508.38999999999993</v>
      </c>
      <c r="F26" s="27">
        <f t="shared" si="5"/>
        <v>496.66075199999995</v>
      </c>
      <c r="G26" s="27">
        <f t="shared" si="5"/>
        <v>576.31931975999987</v>
      </c>
      <c r="H26" s="211">
        <f t="shared" ref="H26:I26" si="19">H9+H20</f>
        <v>415.37</v>
      </c>
      <c r="I26" s="211">
        <f t="shared" si="19"/>
        <v>455.05999999999995</v>
      </c>
      <c r="J26" s="28">
        <f>J9+J20</f>
        <v>435.84619999999995</v>
      </c>
      <c r="K26" s="28">
        <f>K9+K20</f>
        <v>505.75979449999994</v>
      </c>
      <c r="L26" s="211">
        <f t="shared" ref="L26:M26" si="20">L9+L20</f>
        <v>0.184</v>
      </c>
      <c r="M26" s="211">
        <f t="shared" si="20"/>
        <v>0.19000000000000003</v>
      </c>
      <c r="N26" s="28">
        <f>N9+N20</f>
        <v>1.5251999999999999</v>
      </c>
      <c r="O26" s="28">
        <f>O9+O20</f>
        <v>1.7693220000000001</v>
      </c>
      <c r="P26" s="211">
        <f t="shared" ref="P26:Q26" si="21">P9+P20</f>
        <v>27.939999999999998</v>
      </c>
      <c r="Q26" s="211">
        <f t="shared" si="21"/>
        <v>36.249999999999993</v>
      </c>
      <c r="R26" s="28">
        <f>R9+R20</f>
        <v>38.93374</v>
      </c>
      <c r="S26" s="28">
        <f>S9+S20</f>
        <v>45.171648190000006</v>
      </c>
      <c r="T26" s="211">
        <f t="shared" ref="T26:U26" si="22">T9+T20</f>
        <v>11.969999999999999</v>
      </c>
      <c r="U26" s="211">
        <f t="shared" si="22"/>
        <v>16.889999999999997</v>
      </c>
      <c r="V26" s="28">
        <f>V9+V20</f>
        <v>20.355612000000001</v>
      </c>
      <c r="W26" s="28">
        <f>W9+W20</f>
        <v>23.618555070000003</v>
      </c>
    </row>
    <row r="27" spans="1:23" s="16" customFormat="1">
      <c r="A27" s="108" t="s">
        <v>347</v>
      </c>
      <c r="B27" s="109" t="s">
        <v>382</v>
      </c>
      <c r="C27" s="94" t="s">
        <v>58</v>
      </c>
      <c r="D27" s="207">
        <f t="shared" si="18"/>
        <v>0</v>
      </c>
      <c r="E27" s="207">
        <f t="shared" si="18"/>
        <v>0</v>
      </c>
      <c r="F27" s="27">
        <f t="shared" si="5"/>
        <v>0</v>
      </c>
      <c r="G27" s="27">
        <f t="shared" si="5"/>
        <v>0</v>
      </c>
      <c r="H27" s="211">
        <v>0</v>
      </c>
      <c r="I27" s="211">
        <v>0</v>
      </c>
      <c r="J27" s="28">
        <v>0</v>
      </c>
      <c r="K27" s="28">
        <v>0</v>
      </c>
      <c r="L27" s="211">
        <v>0</v>
      </c>
      <c r="M27" s="211">
        <v>0</v>
      </c>
      <c r="N27" s="28">
        <v>0</v>
      </c>
      <c r="O27" s="28">
        <v>0</v>
      </c>
      <c r="P27" s="211">
        <v>0</v>
      </c>
      <c r="Q27" s="211">
        <v>0</v>
      </c>
      <c r="R27" s="28">
        <v>0</v>
      </c>
      <c r="S27" s="28">
        <v>0</v>
      </c>
      <c r="T27" s="211">
        <v>0</v>
      </c>
      <c r="U27" s="211">
        <v>0</v>
      </c>
      <c r="V27" s="28">
        <v>0</v>
      </c>
      <c r="W27" s="28">
        <v>0</v>
      </c>
    </row>
    <row r="28" spans="1:23" s="16" customFormat="1">
      <c r="A28" s="108">
        <v>7</v>
      </c>
      <c r="B28" s="109" t="s">
        <v>166</v>
      </c>
      <c r="C28" s="94" t="s">
        <v>58</v>
      </c>
      <c r="D28" s="207">
        <f t="shared" si="18"/>
        <v>0</v>
      </c>
      <c r="E28" s="207">
        <f t="shared" si="18"/>
        <v>0</v>
      </c>
      <c r="F28" s="27">
        <f t="shared" si="5"/>
        <v>0</v>
      </c>
      <c r="G28" s="27">
        <f t="shared" si="5"/>
        <v>0</v>
      </c>
      <c r="H28" s="212">
        <f t="shared" ref="H28:I28" si="23">SUM(H30:H33)</f>
        <v>0</v>
      </c>
      <c r="I28" s="212">
        <f t="shared" si="23"/>
        <v>0</v>
      </c>
      <c r="J28" s="21">
        <f>SUM(J30:J33)</f>
        <v>0</v>
      </c>
      <c r="K28" s="21">
        <f>SUM(K30:K33)</f>
        <v>0</v>
      </c>
      <c r="L28" s="212">
        <f t="shared" ref="L28:M28" si="24">SUM(L30:L33)</f>
        <v>0</v>
      </c>
      <c r="M28" s="212">
        <f t="shared" si="24"/>
        <v>0</v>
      </c>
      <c r="N28" s="21">
        <f>SUM(N30:N33)</f>
        <v>0</v>
      </c>
      <c r="O28" s="21">
        <f>SUM(O30:O33)</f>
        <v>0</v>
      </c>
      <c r="P28" s="212">
        <f t="shared" ref="P28:Q28" si="25">SUM(P30:P33)</f>
        <v>0</v>
      </c>
      <c r="Q28" s="212">
        <f t="shared" si="25"/>
        <v>0</v>
      </c>
      <c r="R28" s="21">
        <f>SUM(R30:R33)</f>
        <v>0</v>
      </c>
      <c r="S28" s="21">
        <f>SUM(S30:S33)</f>
        <v>0</v>
      </c>
      <c r="T28" s="212">
        <f t="shared" ref="T28:U28" si="26">SUM(T30:T33)</f>
        <v>0</v>
      </c>
      <c r="U28" s="212">
        <f t="shared" si="26"/>
        <v>0</v>
      </c>
      <c r="V28" s="21">
        <f>SUM(V30:V33)</f>
        <v>0</v>
      </c>
      <c r="W28" s="21">
        <f>SUM(W30:W33)</f>
        <v>0</v>
      </c>
    </row>
    <row r="29" spans="1:23">
      <c r="A29" s="106" t="s">
        <v>93</v>
      </c>
      <c r="B29" s="107" t="s">
        <v>94</v>
      </c>
      <c r="C29" s="88" t="s">
        <v>129</v>
      </c>
      <c r="D29" s="207">
        <f t="shared" si="18"/>
        <v>0</v>
      </c>
      <c r="E29" s="207">
        <f t="shared" si="18"/>
        <v>0</v>
      </c>
      <c r="F29" s="27">
        <f t="shared" si="5"/>
        <v>0</v>
      </c>
      <c r="G29" s="27">
        <f t="shared" si="5"/>
        <v>0</v>
      </c>
      <c r="H29" s="207">
        <v>0</v>
      </c>
      <c r="I29" s="207">
        <v>0</v>
      </c>
      <c r="J29" s="20">
        <v>0</v>
      </c>
      <c r="K29" s="20">
        <v>0</v>
      </c>
      <c r="L29" s="210">
        <v>0</v>
      </c>
      <c r="M29" s="210">
        <v>0</v>
      </c>
      <c r="N29" s="20">
        <v>0</v>
      </c>
      <c r="O29" s="20">
        <v>0</v>
      </c>
      <c r="P29" s="210">
        <v>0</v>
      </c>
      <c r="Q29" s="210">
        <v>0</v>
      </c>
      <c r="R29" s="20">
        <v>0</v>
      </c>
      <c r="S29" s="20">
        <v>0</v>
      </c>
      <c r="T29" s="210">
        <v>0</v>
      </c>
      <c r="U29" s="210">
        <v>0</v>
      </c>
      <c r="V29" s="20">
        <v>0</v>
      </c>
      <c r="W29" s="20">
        <v>0</v>
      </c>
    </row>
    <row r="30" spans="1:23">
      <c r="A30" s="106" t="s">
        <v>95</v>
      </c>
      <c r="B30" s="107" t="s">
        <v>130</v>
      </c>
      <c r="C30" s="88" t="s">
        <v>58</v>
      </c>
      <c r="D30" s="207">
        <f t="shared" si="18"/>
        <v>0</v>
      </c>
      <c r="E30" s="207">
        <f t="shared" si="18"/>
        <v>0</v>
      </c>
      <c r="F30" s="27">
        <f t="shared" si="5"/>
        <v>0</v>
      </c>
      <c r="G30" s="27">
        <f t="shared" si="5"/>
        <v>0</v>
      </c>
      <c r="H30" s="207">
        <v>0</v>
      </c>
      <c r="I30" s="207">
        <v>0</v>
      </c>
      <c r="J30" s="20">
        <v>0</v>
      </c>
      <c r="K30" s="20">
        <v>0</v>
      </c>
      <c r="L30" s="210">
        <v>0</v>
      </c>
      <c r="M30" s="210">
        <v>0</v>
      </c>
      <c r="N30" s="20">
        <v>0</v>
      </c>
      <c r="O30" s="20">
        <v>0</v>
      </c>
      <c r="P30" s="210">
        <v>0</v>
      </c>
      <c r="Q30" s="210">
        <v>0</v>
      </c>
      <c r="R30" s="20">
        <v>0</v>
      </c>
      <c r="S30" s="20">
        <v>0</v>
      </c>
      <c r="T30" s="210">
        <v>0</v>
      </c>
      <c r="U30" s="210">
        <v>0</v>
      </c>
      <c r="V30" s="20">
        <v>0</v>
      </c>
      <c r="W30" s="20">
        <v>0</v>
      </c>
    </row>
    <row r="31" spans="1:23">
      <c r="A31" s="106" t="s">
        <v>97</v>
      </c>
      <c r="B31" s="107" t="s">
        <v>131</v>
      </c>
      <c r="C31" s="88" t="s">
        <v>58</v>
      </c>
      <c r="D31" s="207">
        <f t="shared" si="18"/>
        <v>0</v>
      </c>
      <c r="E31" s="207">
        <f t="shared" si="18"/>
        <v>0</v>
      </c>
      <c r="F31" s="27">
        <f t="shared" si="5"/>
        <v>0</v>
      </c>
      <c r="G31" s="27">
        <f t="shared" si="5"/>
        <v>0</v>
      </c>
      <c r="H31" s="207">
        <v>0</v>
      </c>
      <c r="I31" s="207">
        <v>0</v>
      </c>
      <c r="J31" s="20">
        <v>0</v>
      </c>
      <c r="K31" s="20">
        <v>0</v>
      </c>
      <c r="L31" s="210">
        <v>0</v>
      </c>
      <c r="M31" s="210">
        <v>0</v>
      </c>
      <c r="N31" s="20">
        <v>0</v>
      </c>
      <c r="O31" s="20">
        <v>0</v>
      </c>
      <c r="P31" s="210">
        <v>0</v>
      </c>
      <c r="Q31" s="210">
        <v>0</v>
      </c>
      <c r="R31" s="20">
        <v>0</v>
      </c>
      <c r="S31" s="20">
        <v>0</v>
      </c>
      <c r="T31" s="210">
        <v>0</v>
      </c>
      <c r="U31" s="210">
        <v>0</v>
      </c>
      <c r="V31" s="20">
        <v>0</v>
      </c>
      <c r="W31" s="20">
        <v>0</v>
      </c>
    </row>
    <row r="32" spans="1:23">
      <c r="A32" s="106" t="s">
        <v>99</v>
      </c>
      <c r="B32" s="107" t="s">
        <v>100</v>
      </c>
      <c r="C32" s="88" t="s">
        <v>58</v>
      </c>
      <c r="D32" s="207">
        <f t="shared" si="18"/>
        <v>0</v>
      </c>
      <c r="E32" s="207">
        <f t="shared" si="18"/>
        <v>0</v>
      </c>
      <c r="F32" s="27">
        <f t="shared" si="5"/>
        <v>0</v>
      </c>
      <c r="G32" s="27">
        <f t="shared" si="5"/>
        <v>0</v>
      </c>
      <c r="H32" s="207">
        <v>0</v>
      </c>
      <c r="I32" s="207">
        <v>0</v>
      </c>
      <c r="J32" s="20">
        <v>0</v>
      </c>
      <c r="K32" s="20">
        <v>0</v>
      </c>
      <c r="L32" s="210">
        <v>0</v>
      </c>
      <c r="M32" s="210">
        <v>0</v>
      </c>
      <c r="N32" s="20">
        <v>0</v>
      </c>
      <c r="O32" s="20">
        <v>0</v>
      </c>
      <c r="P32" s="210">
        <v>0</v>
      </c>
      <c r="Q32" s="210">
        <v>0</v>
      </c>
      <c r="R32" s="20">
        <v>0</v>
      </c>
      <c r="S32" s="20">
        <v>0</v>
      </c>
      <c r="T32" s="210">
        <v>0</v>
      </c>
      <c r="U32" s="210">
        <v>0</v>
      </c>
      <c r="V32" s="20">
        <v>0</v>
      </c>
      <c r="W32" s="20">
        <v>0</v>
      </c>
    </row>
    <row r="33" spans="1:23">
      <c r="A33" s="106" t="s">
        <v>101</v>
      </c>
      <c r="B33" s="107" t="s">
        <v>132</v>
      </c>
      <c r="C33" s="88" t="s">
        <v>58</v>
      </c>
      <c r="D33" s="207">
        <f t="shared" si="18"/>
        <v>0</v>
      </c>
      <c r="E33" s="207">
        <f t="shared" si="18"/>
        <v>0</v>
      </c>
      <c r="F33" s="27">
        <f t="shared" si="5"/>
        <v>0</v>
      </c>
      <c r="G33" s="27">
        <f t="shared" si="5"/>
        <v>0</v>
      </c>
      <c r="H33" s="207">
        <v>0</v>
      </c>
      <c r="I33" s="207">
        <v>0</v>
      </c>
      <c r="J33" s="20">
        <v>0</v>
      </c>
      <c r="K33" s="20">
        <v>0</v>
      </c>
      <c r="L33" s="210">
        <v>0</v>
      </c>
      <c r="M33" s="210">
        <v>0</v>
      </c>
      <c r="N33" s="20">
        <v>0</v>
      </c>
      <c r="O33" s="20">
        <v>0</v>
      </c>
      <c r="P33" s="210">
        <v>0</v>
      </c>
      <c r="Q33" s="210">
        <v>0</v>
      </c>
      <c r="R33" s="20">
        <v>0</v>
      </c>
      <c r="S33" s="20">
        <v>0</v>
      </c>
      <c r="T33" s="210">
        <v>0</v>
      </c>
      <c r="U33" s="210">
        <v>0</v>
      </c>
      <c r="V33" s="20">
        <v>0</v>
      </c>
      <c r="W33" s="20">
        <v>0</v>
      </c>
    </row>
    <row r="34" spans="1:23" s="16" customFormat="1" ht="25.5" customHeight="1">
      <c r="A34" s="108">
        <v>8</v>
      </c>
      <c r="B34" s="109" t="s">
        <v>167</v>
      </c>
      <c r="C34" s="94" t="s">
        <v>58</v>
      </c>
      <c r="D34" s="207">
        <f t="shared" si="18"/>
        <v>455.46400000000006</v>
      </c>
      <c r="E34" s="207">
        <f>I34+M34+Q34+U34</f>
        <v>508.38999999999993</v>
      </c>
      <c r="F34" s="27">
        <f t="shared" si="5"/>
        <v>496.66075199999995</v>
      </c>
      <c r="G34" s="27">
        <f t="shared" si="5"/>
        <v>576.31931975999987</v>
      </c>
      <c r="H34" s="211">
        <f t="shared" ref="H34:I34" si="27">H26</f>
        <v>415.37</v>
      </c>
      <c r="I34" s="211">
        <f t="shared" si="27"/>
        <v>455.05999999999995</v>
      </c>
      <c r="J34" s="28">
        <f>J26</f>
        <v>435.84619999999995</v>
      </c>
      <c r="K34" s="28">
        <f>K26</f>
        <v>505.75979449999994</v>
      </c>
      <c r="L34" s="211">
        <f t="shared" ref="L34:M34" si="28">L26</f>
        <v>0.184</v>
      </c>
      <c r="M34" s="211">
        <f t="shared" si="28"/>
        <v>0.19000000000000003</v>
      </c>
      <c r="N34" s="28">
        <f>N26</f>
        <v>1.5251999999999999</v>
      </c>
      <c r="O34" s="28">
        <f>O26</f>
        <v>1.7693220000000001</v>
      </c>
      <c r="P34" s="211">
        <f t="shared" ref="P34:Q34" si="29">P26</f>
        <v>27.939999999999998</v>
      </c>
      <c r="Q34" s="211">
        <f t="shared" si="29"/>
        <v>36.249999999999993</v>
      </c>
      <c r="R34" s="28">
        <f>R26</f>
        <v>38.93374</v>
      </c>
      <c r="S34" s="28">
        <f>S26</f>
        <v>45.171648190000006</v>
      </c>
      <c r="T34" s="211">
        <f t="shared" ref="T34:U34" si="30">T26</f>
        <v>11.969999999999999</v>
      </c>
      <c r="U34" s="211">
        <f t="shared" si="30"/>
        <v>16.889999999999997</v>
      </c>
      <c r="V34" s="28">
        <f>V26</f>
        <v>20.355612000000001</v>
      </c>
      <c r="W34" s="28">
        <f>W26</f>
        <v>23.618555070000003</v>
      </c>
    </row>
    <row r="35" spans="1:23" s="16" customFormat="1">
      <c r="A35" s="108">
        <v>9</v>
      </c>
      <c r="B35" s="109" t="s">
        <v>168</v>
      </c>
      <c r="C35" s="94" t="s">
        <v>105</v>
      </c>
      <c r="D35" s="207">
        <f t="shared" ref="D35:E35" si="31">D34/D36*1000</f>
        <v>2.0259337255759116</v>
      </c>
      <c r="E35" s="207">
        <f t="shared" si="31"/>
        <v>2.2860448784078091</v>
      </c>
      <c r="F35" s="27">
        <f>F34/F36*1000</f>
        <v>1.5345653382548767</v>
      </c>
      <c r="G35" s="27">
        <f>G34/G36*1000</f>
        <v>1.7806916457741857</v>
      </c>
      <c r="H35" s="211">
        <f t="shared" ref="H35:I35" si="32">H34/H36*1000</f>
        <v>2.0191518278994507</v>
      </c>
      <c r="I35" s="211">
        <f t="shared" si="32"/>
        <v>2.2820560268675409</v>
      </c>
      <c r="J35" s="28">
        <f>J34/J36*1000</f>
        <v>1.5298128319018156</v>
      </c>
      <c r="K35" s="28">
        <v>1.77</v>
      </c>
      <c r="L35" s="211">
        <f t="shared" ref="L35:M35" si="33">L34/L36*1000</f>
        <v>2.0688104340004498</v>
      </c>
      <c r="M35" s="211">
        <f t="shared" si="33"/>
        <v>2.2352941176470593</v>
      </c>
      <c r="N35" s="28">
        <f>N34</f>
        <v>1.5251999999999999</v>
      </c>
      <c r="O35" s="28">
        <f>O34</f>
        <v>1.7693220000000001</v>
      </c>
      <c r="P35" s="211">
        <f>P34/P39*1000</f>
        <v>2.0942942101085298</v>
      </c>
      <c r="Q35" s="211">
        <f>Q34/Q39*1000</f>
        <v>2.3022158430555639</v>
      </c>
      <c r="R35" s="28">
        <f>R34/R39*1000</f>
        <v>1.5304588262394427</v>
      </c>
      <c r="S35" s="28">
        <v>1.77</v>
      </c>
      <c r="T35" s="211">
        <f>T34/T40*1000</f>
        <v>2.1104448507437685</v>
      </c>
      <c r="U35" s="211">
        <f>U34/U40*1000</f>
        <v>2.3622840167499781</v>
      </c>
      <c r="V35" s="28">
        <f>V34/V40*1000</f>
        <v>1.5295506615079544</v>
      </c>
      <c r="W35" s="28">
        <f>W34/W40*1000</f>
        <v>1.7747330088223605</v>
      </c>
    </row>
    <row r="36" spans="1:23" ht="25.5">
      <c r="A36" s="106">
        <v>10</v>
      </c>
      <c r="B36" s="107" t="s">
        <v>390</v>
      </c>
      <c r="C36" s="88" t="s">
        <v>27</v>
      </c>
      <c r="D36" s="207">
        <f>SUM(D37:D40)</f>
        <v>224816.83100000001</v>
      </c>
      <c r="E36" s="207">
        <f>SUM(E37:E40)</f>
        <v>222388.46</v>
      </c>
      <c r="F36" s="27">
        <f>SUM(F37:F40)</f>
        <v>323649.14</v>
      </c>
      <c r="G36" s="27">
        <f>SUM(G37:G40)</f>
        <v>323649.14</v>
      </c>
      <c r="H36" s="214">
        <f>H37</f>
        <v>205715.09</v>
      </c>
      <c r="I36" s="214">
        <f>I37</f>
        <v>199407.9</v>
      </c>
      <c r="J36" s="23">
        <f>J37</f>
        <v>284901.65000000002</v>
      </c>
      <c r="K36" s="23">
        <f>K37</f>
        <v>284901.65000000002</v>
      </c>
      <c r="L36" s="216">
        <f>L38</f>
        <v>88.94</v>
      </c>
      <c r="M36" s="216">
        <f>M38</f>
        <v>85</v>
      </c>
      <c r="N36" s="23">
        <f>N37</f>
        <v>0</v>
      </c>
      <c r="O36" s="23">
        <f>O37</f>
        <v>0</v>
      </c>
      <c r="P36" s="214">
        <f>P39</f>
        <v>13341.01</v>
      </c>
      <c r="Q36" s="214">
        <f>Q39</f>
        <v>15745.7</v>
      </c>
      <c r="R36" s="23">
        <f>R37</f>
        <v>0</v>
      </c>
      <c r="S36" s="23">
        <f>S37</f>
        <v>0</v>
      </c>
      <c r="T36" s="214">
        <f>T40</f>
        <v>5671.79</v>
      </c>
      <c r="U36" s="214">
        <f>U40</f>
        <v>7149.86</v>
      </c>
      <c r="V36" s="23">
        <f>V37</f>
        <v>0</v>
      </c>
      <c r="W36" s="23">
        <f>W37</f>
        <v>0</v>
      </c>
    </row>
    <row r="37" spans="1:23">
      <c r="A37" s="106" t="s">
        <v>134</v>
      </c>
      <c r="B37" s="107" t="s">
        <v>3</v>
      </c>
      <c r="C37" s="88" t="s">
        <v>27</v>
      </c>
      <c r="D37" s="216">
        <f>[6]Д2!D28</f>
        <v>205715.09099999999</v>
      </c>
      <c r="E37" s="207">
        <f t="shared" ref="D37:E40" si="34">I37+M37+Q37+U37</f>
        <v>199407.9</v>
      </c>
      <c r="F37" s="27">
        <f t="shared" si="5"/>
        <v>284901.65000000002</v>
      </c>
      <c r="G37" s="27">
        <f t="shared" si="5"/>
        <v>284901.65000000002</v>
      </c>
      <c r="H37" s="217">
        <f>[6]Д3!I45</f>
        <v>205715.09</v>
      </c>
      <c r="I37" s="217">
        <f>[6]Д3!J45</f>
        <v>199407.9</v>
      </c>
      <c r="J37" s="23">
        <v>284901.65000000002</v>
      </c>
      <c r="K37" s="23">
        <v>284901.65000000002</v>
      </c>
      <c r="L37" s="214"/>
      <c r="M37" s="214"/>
      <c r="N37" s="23">
        <v>0</v>
      </c>
      <c r="O37" s="23">
        <v>0</v>
      </c>
      <c r="P37" s="214"/>
      <c r="Q37" s="214"/>
      <c r="R37" s="23">
        <v>0</v>
      </c>
      <c r="S37" s="23">
        <v>0</v>
      </c>
      <c r="T37" s="214"/>
      <c r="U37" s="214"/>
      <c r="V37" s="23">
        <v>0</v>
      </c>
      <c r="W37" s="23">
        <v>0</v>
      </c>
    </row>
    <row r="38" spans="1:23">
      <c r="A38" s="106" t="s">
        <v>136</v>
      </c>
      <c r="B38" s="107" t="s">
        <v>330</v>
      </c>
      <c r="C38" s="88" t="s">
        <v>27</v>
      </c>
      <c r="D38" s="207">
        <f t="shared" si="34"/>
        <v>88.94</v>
      </c>
      <c r="E38" s="207">
        <f t="shared" si="34"/>
        <v>85</v>
      </c>
      <c r="F38" s="27">
        <f t="shared" si="5"/>
        <v>0</v>
      </c>
      <c r="G38" s="27">
        <f t="shared" si="5"/>
        <v>0</v>
      </c>
      <c r="H38" s="214"/>
      <c r="I38" s="214"/>
      <c r="J38" s="23">
        <v>0</v>
      </c>
      <c r="K38" s="23">
        <v>0</v>
      </c>
      <c r="L38" s="210">
        <f>[6]Д3!M45</f>
        <v>88.94</v>
      </c>
      <c r="M38" s="210">
        <f>[6]Д3!N45</f>
        <v>85</v>
      </c>
      <c r="N38" s="23">
        <v>0</v>
      </c>
      <c r="O38" s="23">
        <v>0</v>
      </c>
      <c r="P38" s="214"/>
      <c r="Q38" s="214"/>
      <c r="R38" s="23">
        <v>0</v>
      </c>
      <c r="S38" s="23">
        <v>0</v>
      </c>
      <c r="T38" s="214"/>
      <c r="U38" s="214"/>
      <c r="V38" s="23">
        <v>0</v>
      </c>
      <c r="W38" s="23">
        <v>0</v>
      </c>
    </row>
    <row r="39" spans="1:23">
      <c r="A39" s="106" t="s">
        <v>169</v>
      </c>
      <c r="B39" s="107" t="s">
        <v>149</v>
      </c>
      <c r="C39" s="112" t="s">
        <v>27</v>
      </c>
      <c r="D39" s="207">
        <f t="shared" si="34"/>
        <v>13341.01</v>
      </c>
      <c r="E39" s="207">
        <f t="shared" si="34"/>
        <v>15745.7</v>
      </c>
      <c r="F39" s="27">
        <f t="shared" si="5"/>
        <v>25439.26</v>
      </c>
      <c r="G39" s="27">
        <f t="shared" si="5"/>
        <v>25439.26</v>
      </c>
      <c r="H39" s="214"/>
      <c r="I39" s="214"/>
      <c r="J39" s="23">
        <v>0</v>
      </c>
      <c r="K39" s="23">
        <v>0</v>
      </c>
      <c r="L39" s="214"/>
      <c r="M39" s="214"/>
      <c r="N39" s="23">
        <v>0</v>
      </c>
      <c r="O39" s="23">
        <v>0</v>
      </c>
      <c r="P39" s="210">
        <f>[6]Д3!U45</f>
        <v>13341.01</v>
      </c>
      <c r="Q39" s="217">
        <f>[6]Д3!V45</f>
        <v>15745.7</v>
      </c>
      <c r="R39" s="23">
        <v>25439.26</v>
      </c>
      <c r="S39" s="23">
        <v>25439.26</v>
      </c>
      <c r="T39" s="214"/>
      <c r="U39" s="214"/>
      <c r="V39" s="23">
        <v>0</v>
      </c>
      <c r="W39" s="23">
        <v>0</v>
      </c>
    </row>
    <row r="40" spans="1:23">
      <c r="A40" s="106" t="s">
        <v>339</v>
      </c>
      <c r="B40" s="107" t="s">
        <v>170</v>
      </c>
      <c r="C40" s="88" t="s">
        <v>27</v>
      </c>
      <c r="D40" s="207">
        <f t="shared" si="34"/>
        <v>5671.79</v>
      </c>
      <c r="E40" s="207">
        <f t="shared" si="34"/>
        <v>7149.86</v>
      </c>
      <c r="F40" s="27">
        <f t="shared" si="5"/>
        <v>13308.23</v>
      </c>
      <c r="G40" s="27">
        <f t="shared" si="5"/>
        <v>13308.23</v>
      </c>
      <c r="H40" s="214"/>
      <c r="I40" s="214"/>
      <c r="J40" s="23">
        <v>0</v>
      </c>
      <c r="K40" s="23">
        <v>0</v>
      </c>
      <c r="L40" s="214"/>
      <c r="M40" s="214"/>
      <c r="N40" s="23">
        <v>0</v>
      </c>
      <c r="O40" s="23">
        <v>0</v>
      </c>
      <c r="P40" s="214"/>
      <c r="Q40" s="214"/>
      <c r="R40" s="23"/>
      <c r="S40" s="23"/>
      <c r="T40" s="210">
        <f>[6]Д3!Y45</f>
        <v>5671.79</v>
      </c>
      <c r="U40" s="210">
        <f>[6]Д3!Z45</f>
        <v>7149.86</v>
      </c>
      <c r="V40" s="23">
        <v>13308.23</v>
      </c>
      <c r="W40" s="23">
        <v>13308.23</v>
      </c>
    </row>
    <row r="41" spans="1:23">
      <c r="A41" s="102" t="s">
        <v>113</v>
      </c>
      <c r="B41" s="10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</row>
    <row r="42" spans="1:23">
      <c r="A42" s="1"/>
    </row>
    <row r="43" spans="1:23" ht="17.25" customHeight="1">
      <c r="A43" s="1"/>
      <c r="B43" s="25" t="s">
        <v>154</v>
      </c>
      <c r="C43" s="248" t="s">
        <v>155</v>
      </c>
      <c r="D43" s="248"/>
      <c r="E43" s="248"/>
      <c r="F43" s="248" t="s">
        <v>491</v>
      </c>
      <c r="G43" s="248"/>
    </row>
    <row r="44" spans="1:23" ht="25.5" customHeight="1">
      <c r="A44" s="1"/>
      <c r="B44" s="13" t="s">
        <v>8</v>
      </c>
      <c r="C44" s="262" t="s">
        <v>156</v>
      </c>
      <c r="D44" s="262"/>
      <c r="E44" s="262"/>
      <c r="F44" s="262" t="s">
        <v>157</v>
      </c>
      <c r="G44" s="262"/>
    </row>
  </sheetData>
  <mergeCells count="17">
    <mergeCell ref="A6:A7"/>
    <mergeCell ref="B6:B7"/>
    <mergeCell ref="C6:C7"/>
    <mergeCell ref="D6:G6"/>
    <mergeCell ref="C43:E43"/>
    <mergeCell ref="F43:G43"/>
    <mergeCell ref="D1:G1"/>
    <mergeCell ref="B2:F2"/>
    <mergeCell ref="B3:F3"/>
    <mergeCell ref="B4:F4"/>
    <mergeCell ref="F5:G5"/>
    <mergeCell ref="H6:K6"/>
    <mergeCell ref="L6:O6"/>
    <mergeCell ref="T6:W6"/>
    <mergeCell ref="C44:E44"/>
    <mergeCell ref="F44:G44"/>
    <mergeCell ref="P6:S6"/>
  </mergeCells>
  <conditionalFormatting sqref="B3:F3">
    <cfRule type="cellIs" dxfId="7" priority="2" operator="equal">
      <formula>0</formula>
    </cfRule>
    <cfRule type="cellIs" priority="3" operator="equal">
      <formula>0</formula>
    </cfRule>
  </conditionalFormatting>
  <conditionalFormatting sqref="B1">
    <cfRule type="containsText" dxfId="6" priority="1" operator="containsText" text="Для корек">
      <formula>NOT(ISERROR(SEARCH("Для корек",B1)))</formula>
    </cfRule>
  </conditionalFormatting>
  <pageMargins left="0.70866141732283472" right="0.27559055118110237" top="0.27559055118110237" bottom="0.23622047244094491" header="0.31496062992125984" footer="0.31496062992125984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I44"/>
  <sheetViews>
    <sheetView tabSelected="1" view="pageBreakPreview" zoomScaleSheetLayoutView="100" workbookViewId="0">
      <pane ySplit="8" topLeftCell="A15" activePane="bottomLeft" state="frozen"/>
      <selection activeCell="E13" sqref="E13"/>
      <selection pane="bottomLeft" activeCell="E21" sqref="E21"/>
    </sheetView>
  </sheetViews>
  <sheetFormatPr defaultRowHeight="15"/>
  <cols>
    <col min="1" max="1" width="3.140625" style="34" customWidth="1"/>
    <col min="2" max="2" width="42.85546875" style="34" customWidth="1"/>
    <col min="3" max="3" width="9.5703125" style="46" customWidth="1"/>
    <col min="4" max="4" width="10.28515625" style="34" customWidth="1"/>
    <col min="5" max="8" width="12.42578125" style="34" customWidth="1"/>
    <col min="9" max="24" width="3.85546875" style="34" customWidth="1"/>
    <col min="25" max="16384" width="9.140625" style="34"/>
  </cols>
  <sheetData>
    <row r="1" spans="1:8" ht="95.25" customHeight="1">
      <c r="A1" s="31"/>
      <c r="B1" s="73"/>
      <c r="C1" s="32"/>
      <c r="D1" s="33"/>
      <c r="E1" s="270" t="s">
        <v>428</v>
      </c>
      <c r="F1" s="271"/>
      <c r="G1" s="271"/>
      <c r="H1" s="271"/>
    </row>
    <row r="2" spans="1:8" ht="12" customHeight="1">
      <c r="A2" s="31"/>
      <c r="B2" s="273" t="s">
        <v>171</v>
      </c>
      <c r="C2" s="273"/>
      <c r="D2" s="273"/>
      <c r="E2" s="273"/>
      <c r="F2" s="273"/>
      <c r="G2" s="273"/>
      <c r="H2" s="273"/>
    </row>
    <row r="3" spans="1:8">
      <c r="A3" s="31"/>
      <c r="B3" s="274" t="s">
        <v>490</v>
      </c>
      <c r="C3" s="275"/>
      <c r="D3" s="275"/>
      <c r="E3" s="275"/>
      <c r="F3" s="275"/>
      <c r="G3" s="275"/>
      <c r="H3" s="275"/>
    </row>
    <row r="4" spans="1:8" ht="12.75" customHeight="1">
      <c r="A4" s="31"/>
      <c r="B4" s="276" t="s">
        <v>50</v>
      </c>
      <c r="C4" s="276"/>
      <c r="D4" s="276"/>
      <c r="E4" s="276"/>
      <c r="F4" s="276"/>
      <c r="G4" s="276"/>
      <c r="H4" s="276"/>
    </row>
    <row r="5" spans="1:8">
      <c r="A5" s="31"/>
      <c r="B5" s="32"/>
      <c r="C5" s="32"/>
      <c r="D5" s="32"/>
      <c r="E5" s="32"/>
      <c r="F5" s="272" t="s">
        <v>51</v>
      </c>
      <c r="G5" s="272"/>
      <c r="H5" s="272"/>
    </row>
    <row r="6" spans="1:8" ht="27" customHeight="1">
      <c r="A6" s="277" t="s">
        <v>10</v>
      </c>
      <c r="B6" s="278" t="s">
        <v>172</v>
      </c>
      <c r="C6" s="277" t="s">
        <v>52</v>
      </c>
      <c r="D6" s="277" t="s">
        <v>173</v>
      </c>
      <c r="E6" s="277" t="s">
        <v>174</v>
      </c>
      <c r="F6" s="277"/>
      <c r="G6" s="277"/>
      <c r="H6" s="277"/>
    </row>
    <row r="7" spans="1:8" ht="27" customHeight="1">
      <c r="A7" s="277"/>
      <c r="B7" s="278"/>
      <c r="C7" s="277"/>
      <c r="D7" s="277"/>
      <c r="E7" s="35" t="s">
        <v>3</v>
      </c>
      <c r="F7" s="35" t="s">
        <v>330</v>
      </c>
      <c r="G7" s="113" t="s">
        <v>149</v>
      </c>
      <c r="H7" s="35" t="s">
        <v>151</v>
      </c>
    </row>
    <row r="8" spans="1:8" ht="12.75" customHeight="1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113">
        <v>7</v>
      </c>
      <c r="H8" s="113">
        <v>8</v>
      </c>
    </row>
    <row r="9" spans="1:8">
      <c r="A9" s="36">
        <v>1</v>
      </c>
      <c r="B9" s="37" t="s">
        <v>175</v>
      </c>
      <c r="C9" s="38" t="s">
        <v>105</v>
      </c>
      <c r="D9" s="39">
        <f>D10+D12</f>
        <v>1056.067546189807</v>
      </c>
      <c r="E9" s="39">
        <f>SUM(E10:E12)</f>
        <v>983.69230174949269</v>
      </c>
      <c r="F9" s="39">
        <f>SUM(F10:F12)</f>
        <v>619.33359544400003</v>
      </c>
      <c r="G9" s="39">
        <f>SUM(G10:G12)</f>
        <v>1503.6206843450477</v>
      </c>
      <c r="H9" s="39">
        <f>H10+H11+H12</f>
        <v>1503.6223539597227</v>
      </c>
    </row>
    <row r="10" spans="1:8" ht="25.5">
      <c r="A10" s="36" t="s">
        <v>28</v>
      </c>
      <c r="B10" s="37" t="s">
        <v>391</v>
      </c>
      <c r="C10" s="38" t="s">
        <v>105</v>
      </c>
      <c r="D10" s="39">
        <f>Д3!H44</f>
        <v>1047.8521373677722</v>
      </c>
      <c r="E10" s="39">
        <f>Д3!L35/Д5!K37*1000</f>
        <v>983.69230174949269</v>
      </c>
      <c r="F10" s="39">
        <f>Д3!P35</f>
        <v>619.33359544400003</v>
      </c>
      <c r="G10" s="39">
        <f>Д3!X35/Д3!X45*1000</f>
        <v>1434.999191424263</v>
      </c>
      <c r="H10" s="39">
        <f>Д3!AB35/Д3!AB45*1000</f>
        <v>1435.000906930328</v>
      </c>
    </row>
    <row r="11" spans="1:8">
      <c r="A11" s="36" t="s">
        <v>30</v>
      </c>
      <c r="B11" s="37" t="s">
        <v>392</v>
      </c>
      <c r="C11" s="142" t="s">
        <v>105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</row>
    <row r="12" spans="1:8">
      <c r="A12" s="36" t="s">
        <v>70</v>
      </c>
      <c r="B12" s="37" t="s">
        <v>176</v>
      </c>
      <c r="C12" s="142" t="s">
        <v>105</v>
      </c>
      <c r="D12" s="39">
        <f>Д3!H37/Д3!H45*1000</f>
        <v>8.2154088220348722</v>
      </c>
      <c r="E12" s="39">
        <v>0</v>
      </c>
      <c r="F12" s="39">
        <v>0</v>
      </c>
      <c r="G12" s="39">
        <f>Д3!X37/Д3!X45*1000</f>
        <v>68.621492920784647</v>
      </c>
      <c r="H12" s="39">
        <f>Д3!AB37/Д3!AB45*1000</f>
        <v>68.621447029394602</v>
      </c>
    </row>
    <row r="13" spans="1:8">
      <c r="A13" s="36">
        <v>2</v>
      </c>
      <c r="B13" s="37" t="s">
        <v>177</v>
      </c>
      <c r="C13" s="142" t="s">
        <v>105</v>
      </c>
      <c r="D13" s="39">
        <f>SUM(D14:D16)</f>
        <v>57.165429892267589</v>
      </c>
      <c r="E13" s="39">
        <f>SUM(E14:E16)</f>
        <v>56.98947078799192</v>
      </c>
      <c r="F13" s="39">
        <f>SUM(F14:F16)</f>
        <v>56.978340729999992</v>
      </c>
      <c r="G13" s="39">
        <f>SUM(G14:G16)</f>
        <v>56.989024300549637</v>
      </c>
      <c r="H13" s="39">
        <f>SUM(H14:H16)</f>
        <v>56.988120522338441</v>
      </c>
    </row>
    <row r="14" spans="1:8" ht="25.5">
      <c r="A14" s="36" t="s">
        <v>33</v>
      </c>
      <c r="B14" s="37" t="s">
        <v>178</v>
      </c>
      <c r="C14" s="142" t="s">
        <v>105</v>
      </c>
      <c r="D14" s="39">
        <f>Д4!G40</f>
        <v>57.165429892267589</v>
      </c>
      <c r="E14" s="39">
        <f>Д4!K39/Д4!K50*1000</f>
        <v>56.98947078799192</v>
      </c>
      <c r="F14" s="39">
        <f>Д4!O31</f>
        <v>56.978340729999992</v>
      </c>
      <c r="G14" s="39">
        <f>Д4!S40</f>
        <v>56.989024300549637</v>
      </c>
      <c r="H14" s="39">
        <f>Д4!W39/Д4!W54*1000</f>
        <v>56.988120522338441</v>
      </c>
    </row>
    <row r="15" spans="1:8">
      <c r="A15" s="36" t="s">
        <v>35</v>
      </c>
      <c r="B15" s="37" t="s">
        <v>392</v>
      </c>
      <c r="C15" s="142" t="s">
        <v>105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</row>
    <row r="16" spans="1:8">
      <c r="A16" s="36" t="s">
        <v>88</v>
      </c>
      <c r="B16" s="37" t="s">
        <v>176</v>
      </c>
      <c r="C16" s="142" t="s">
        <v>105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</row>
    <row r="17" spans="1:9">
      <c r="A17" s="36">
        <v>3</v>
      </c>
      <c r="B17" s="37" t="s">
        <v>179</v>
      </c>
      <c r="C17" s="142" t="s">
        <v>105</v>
      </c>
      <c r="D17" s="39">
        <f>SUM(D18:D20)</f>
        <v>1.7806916457741857</v>
      </c>
      <c r="E17" s="39">
        <f>SUM(E18:E20)</f>
        <v>1.7752083727840815</v>
      </c>
      <c r="F17" s="39">
        <f>SUM(F18:F20)</f>
        <v>1.7693220000000001</v>
      </c>
      <c r="G17" s="39">
        <f>SUM(G18:G20)</f>
        <v>1.77</v>
      </c>
      <c r="H17" s="39">
        <f>SUM(H18:H20)</f>
        <v>1.7747330088223605</v>
      </c>
    </row>
    <row r="18" spans="1:9" ht="25.5">
      <c r="A18" s="36" t="s">
        <v>89</v>
      </c>
      <c r="B18" s="37" t="s">
        <v>180</v>
      </c>
      <c r="C18" s="142" t="s">
        <v>105</v>
      </c>
      <c r="D18" s="39">
        <f>Д5!G35</f>
        <v>1.7806916457741857</v>
      </c>
      <c r="E18" s="39">
        <f>Д5!K34/Д5!K36*1000</f>
        <v>1.7752083727840815</v>
      </c>
      <c r="F18" s="39">
        <f>Д5!O26</f>
        <v>1.7693220000000001</v>
      </c>
      <c r="G18" s="39">
        <f>Д5!S35</f>
        <v>1.77</v>
      </c>
      <c r="H18" s="39">
        <f>Д5!W34/Д5!W40*1000</f>
        <v>1.7747330088223605</v>
      </c>
    </row>
    <row r="19" spans="1:9">
      <c r="A19" s="36" t="s">
        <v>90</v>
      </c>
      <c r="B19" s="37" t="s">
        <v>392</v>
      </c>
      <c r="C19" s="142" t="s">
        <v>105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</row>
    <row r="20" spans="1:9">
      <c r="A20" s="36" t="s">
        <v>91</v>
      </c>
      <c r="B20" s="37" t="s">
        <v>176</v>
      </c>
      <c r="C20" s="142" t="s">
        <v>105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</row>
    <row r="21" spans="1:9">
      <c r="A21" s="36">
        <v>4</v>
      </c>
      <c r="B21" s="37" t="s">
        <v>181</v>
      </c>
      <c r="C21" s="142" t="s">
        <v>105</v>
      </c>
      <c r="D21" s="39">
        <f>SUM(D22:D24)</f>
        <v>1123.2290765498835</v>
      </c>
      <c r="E21" s="39">
        <f>SUM(E22:E24)</f>
        <v>1042.4569809102688</v>
      </c>
      <c r="F21" s="39">
        <f>SUM(F22:F24)</f>
        <v>678.08125817400003</v>
      </c>
      <c r="G21" s="39">
        <f>SUM(G22:G24)</f>
        <v>1562.3797086455972</v>
      </c>
      <c r="H21" s="39">
        <f>SUM(H22:H24)</f>
        <v>1562.3852074908834</v>
      </c>
    </row>
    <row r="22" spans="1:9">
      <c r="A22" s="36" t="s">
        <v>37</v>
      </c>
      <c r="B22" s="37" t="s">
        <v>182</v>
      </c>
      <c r="C22" s="142" t="s">
        <v>105</v>
      </c>
      <c r="D22" s="39">
        <f>D9+D13+D17</f>
        <v>1115.0136677278488</v>
      </c>
      <c r="E22" s="39">
        <f>E9+E13+E17</f>
        <v>1042.4569809102688</v>
      </c>
      <c r="F22" s="39">
        <f>F10+F14+F18</f>
        <v>678.08125817400003</v>
      </c>
      <c r="G22" s="39">
        <f>G10+G13+G17</f>
        <v>1493.7582157248125</v>
      </c>
      <c r="H22" s="39">
        <f>H10+H14+H17</f>
        <v>1493.7637604614888</v>
      </c>
    </row>
    <row r="23" spans="1:9">
      <c r="A23" s="36" t="s">
        <v>183</v>
      </c>
      <c r="B23" s="37" t="s">
        <v>392</v>
      </c>
      <c r="C23" s="142" t="s">
        <v>105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/>
    </row>
    <row r="24" spans="1:9">
      <c r="A24" s="36" t="s">
        <v>291</v>
      </c>
      <c r="B24" s="37" t="s">
        <v>176</v>
      </c>
      <c r="C24" s="142" t="s">
        <v>105</v>
      </c>
      <c r="D24" s="39">
        <f>D12</f>
        <v>8.2154088220348722</v>
      </c>
      <c r="E24" s="39">
        <v>0</v>
      </c>
      <c r="F24" s="39">
        <v>0</v>
      </c>
      <c r="G24" s="39">
        <f>G12</f>
        <v>68.621492920784647</v>
      </c>
      <c r="H24" s="39">
        <f>H12</f>
        <v>68.621447029394602</v>
      </c>
    </row>
    <row r="25" spans="1:9" ht="38.25">
      <c r="A25" s="36">
        <v>5</v>
      </c>
      <c r="B25" s="37" t="s">
        <v>184</v>
      </c>
      <c r="C25" s="38" t="s">
        <v>58</v>
      </c>
      <c r="D25" s="40">
        <f>SUM(D26:D28)</f>
        <v>358214.30464836408</v>
      </c>
      <c r="E25" s="40">
        <f>SUM(E26:E28)</f>
        <v>296997.71391535411</v>
      </c>
      <c r="F25" s="40">
        <f>SUM(F26:F28)</f>
        <v>0</v>
      </c>
      <c r="G25" s="40">
        <f>SUM(G26:G28)</f>
        <v>39745.927784949599</v>
      </c>
      <c r="H25" s="40">
        <f>SUM(H26:H28)</f>
        <v>20792.5816898864</v>
      </c>
    </row>
    <row r="26" spans="1:9" ht="25.5">
      <c r="A26" s="36" t="s">
        <v>40</v>
      </c>
      <c r="B26" s="37" t="s">
        <v>185</v>
      </c>
      <c r="C26" s="38" t="s">
        <v>58</v>
      </c>
      <c r="D26" s="40">
        <f>Д3!H35+Д4!G39+Д5!G26</f>
        <v>355555.3946483641</v>
      </c>
      <c r="E26" s="40">
        <f>Д3!L35+Д4!K39+Д5!K26</f>
        <v>296997.71391535411</v>
      </c>
      <c r="F26" s="40">
        <v>0</v>
      </c>
      <c r="G26" s="40">
        <f>Д3!X35+Д4!S39+Д5!S26</f>
        <v>38000.247784949599</v>
      </c>
      <c r="H26" s="40">
        <f>Д3!AB35+Д4!W31+Д5!W26</f>
        <v>19879.3516898864</v>
      </c>
    </row>
    <row r="27" spans="1:9">
      <c r="A27" s="36" t="s">
        <v>41</v>
      </c>
      <c r="B27" s="37" t="s">
        <v>392</v>
      </c>
      <c r="C27" s="142" t="s">
        <v>58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</row>
    <row r="28" spans="1:9" ht="25.5">
      <c r="A28" s="36" t="s">
        <v>42</v>
      </c>
      <c r="B28" s="37" t="s">
        <v>186</v>
      </c>
      <c r="C28" s="38" t="s">
        <v>58</v>
      </c>
      <c r="D28" s="40">
        <f>Д3!H37</f>
        <v>2658.91</v>
      </c>
      <c r="E28" s="40">
        <v>0</v>
      </c>
      <c r="F28" s="40">
        <v>0</v>
      </c>
      <c r="G28" s="40">
        <f>Д3!X37</f>
        <v>1745.68</v>
      </c>
      <c r="H28" s="40">
        <f>Д3!AB37</f>
        <v>913.23</v>
      </c>
    </row>
    <row r="29" spans="1:9" ht="51">
      <c r="A29" s="36">
        <v>6</v>
      </c>
      <c r="B29" s="37" t="s">
        <v>187</v>
      </c>
      <c r="C29" s="38" t="s">
        <v>58</v>
      </c>
      <c r="D29" s="40">
        <f>SUM(D30:D32)</f>
        <v>358214.30464836408</v>
      </c>
      <c r="E29" s="40">
        <f>SUM(E30:E32)</f>
        <v>296997.71391535411</v>
      </c>
      <c r="F29" s="40">
        <f>SUM(F30:F32)</f>
        <v>0</v>
      </c>
      <c r="G29" s="40">
        <f>SUM(G30:G32)</f>
        <v>39745.927784949599</v>
      </c>
      <c r="H29" s="40">
        <f>SUM(H30:H32)</f>
        <v>20792.5816898864</v>
      </c>
    </row>
    <row r="30" spans="1:9" ht="25.5">
      <c r="A30" s="36" t="s">
        <v>44</v>
      </c>
      <c r="B30" s="37" t="s">
        <v>188</v>
      </c>
      <c r="C30" s="38" t="s">
        <v>58</v>
      </c>
      <c r="D30" s="40">
        <f>D26</f>
        <v>355555.3946483641</v>
      </c>
      <c r="E30" s="40">
        <f>E26</f>
        <v>296997.71391535411</v>
      </c>
      <c r="F30" s="40">
        <v>0</v>
      </c>
      <c r="G30" s="40">
        <f>G26</f>
        <v>38000.247784949599</v>
      </c>
      <c r="H30" s="40">
        <f>H26</f>
        <v>19879.3516898864</v>
      </c>
    </row>
    <row r="31" spans="1:9">
      <c r="A31" s="36" t="s">
        <v>45</v>
      </c>
      <c r="B31" s="37" t="s">
        <v>392</v>
      </c>
      <c r="C31" s="142" t="s">
        <v>58</v>
      </c>
      <c r="D31" s="40">
        <v>0</v>
      </c>
      <c r="E31" s="40">
        <f>E27</f>
        <v>0</v>
      </c>
      <c r="F31" s="40">
        <v>0</v>
      </c>
      <c r="G31" s="40">
        <v>0</v>
      </c>
      <c r="H31" s="40">
        <v>0</v>
      </c>
    </row>
    <row r="32" spans="1:9" ht="25.5">
      <c r="A32" s="36" t="s">
        <v>46</v>
      </c>
      <c r="B32" s="37" t="s">
        <v>189</v>
      </c>
      <c r="C32" s="38" t="s">
        <v>58</v>
      </c>
      <c r="D32" s="40">
        <f>D28</f>
        <v>2658.91</v>
      </c>
      <c r="E32" s="40">
        <f>E28</f>
        <v>0</v>
      </c>
      <c r="F32" s="40">
        <v>0</v>
      </c>
      <c r="G32" s="40">
        <f>G28</f>
        <v>1745.68</v>
      </c>
      <c r="H32" s="40">
        <f>H28</f>
        <v>913.23</v>
      </c>
    </row>
    <row r="33" spans="1:8" ht="38.25">
      <c r="A33" s="36">
        <v>7</v>
      </c>
      <c r="B33" s="37" t="s">
        <v>190</v>
      </c>
      <c r="C33" s="38" t="s">
        <v>27</v>
      </c>
      <c r="D33" s="40">
        <f>SUM(E33:H33)</f>
        <v>323649.14</v>
      </c>
      <c r="E33" s="40">
        <f>SUM(E34:E35)</f>
        <v>284901.65000000002</v>
      </c>
      <c r="F33" s="40">
        <f>SUM(F34:F35)</f>
        <v>0</v>
      </c>
      <c r="G33" s="40">
        <f>SUM(G34:G35)</f>
        <v>25439.26</v>
      </c>
      <c r="H33" s="40">
        <f>SUM(H34:H35)</f>
        <v>13308.23</v>
      </c>
    </row>
    <row r="34" spans="1:8" ht="25.5">
      <c r="A34" s="36" t="s">
        <v>93</v>
      </c>
      <c r="B34" s="37" t="s">
        <v>191</v>
      </c>
      <c r="C34" s="38" t="s">
        <v>27</v>
      </c>
      <c r="D34" s="40">
        <f>SUM(E34:H34)</f>
        <v>323649.14</v>
      </c>
      <c r="E34" s="40">
        <f>Д3!L45</f>
        <v>284901.65000000002</v>
      </c>
      <c r="F34" s="40">
        <v>0</v>
      </c>
      <c r="G34" s="40">
        <f>Д3!X45</f>
        <v>25439.26</v>
      </c>
      <c r="H34" s="40">
        <f>Д3!AB45</f>
        <v>13308.23</v>
      </c>
    </row>
    <row r="35" spans="1:8">
      <c r="A35" s="36" t="s">
        <v>95</v>
      </c>
      <c r="B35" s="37" t="s">
        <v>145</v>
      </c>
      <c r="C35" s="38" t="s">
        <v>27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</row>
    <row r="36" spans="1:8">
      <c r="A36" s="36">
        <v>8</v>
      </c>
      <c r="B36" s="37" t="s">
        <v>192</v>
      </c>
      <c r="C36" s="38"/>
      <c r="D36" s="40"/>
      <c r="E36" s="40"/>
      <c r="F36" s="40"/>
      <c r="G36" s="40"/>
      <c r="H36" s="40"/>
    </row>
    <row r="37" spans="1:8">
      <c r="A37" s="36" t="s">
        <v>193</v>
      </c>
      <c r="B37" s="37" t="s">
        <v>194</v>
      </c>
      <c r="C37" s="38" t="s">
        <v>4</v>
      </c>
      <c r="D37" s="180">
        <f>Д3!H43/Д3!H35-100%</f>
        <v>7.9021917910950812E-3</v>
      </c>
      <c r="E37" s="40">
        <v>0</v>
      </c>
      <c r="F37" s="40">
        <v>0</v>
      </c>
      <c r="G37" s="180">
        <f>Д3!X43/Д3!X35-100%</f>
        <v>4.7819882638872047E-2</v>
      </c>
      <c r="H37" s="180">
        <f>Д3!AB43/Д3!AB35-100%</f>
        <v>4.781979349141019E-2</v>
      </c>
    </row>
    <row r="38" spans="1:8">
      <c r="A38" s="36" t="s">
        <v>195</v>
      </c>
      <c r="B38" s="37" t="s">
        <v>196</v>
      </c>
      <c r="C38" s="38" t="s">
        <v>4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</row>
    <row r="39" spans="1:8">
      <c r="A39" s="36" t="s">
        <v>197</v>
      </c>
      <c r="B39" s="37" t="s">
        <v>198</v>
      </c>
      <c r="C39" s="38" t="s">
        <v>4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</row>
    <row r="40" spans="1:8">
      <c r="A40" s="36" t="s">
        <v>199</v>
      </c>
      <c r="B40" s="37" t="s">
        <v>200</v>
      </c>
      <c r="C40" s="38" t="s">
        <v>4</v>
      </c>
      <c r="D40" s="180">
        <f>D29/D30-100%</f>
        <v>7.4781877592648982E-3</v>
      </c>
      <c r="E40" s="40">
        <v>0</v>
      </c>
      <c r="F40" s="40">
        <v>0</v>
      </c>
      <c r="G40" s="180">
        <f>G25/G26-100%</f>
        <v>4.5938647818275502E-2</v>
      </c>
      <c r="H40" s="180">
        <f>H25/H30-100%</f>
        <v>4.593862084871736E-2</v>
      </c>
    </row>
    <row r="41" spans="1:8">
      <c r="A41" s="41" t="s">
        <v>113</v>
      </c>
      <c r="B41" s="42"/>
      <c r="C41" s="32"/>
      <c r="D41" s="32"/>
      <c r="E41" s="32"/>
      <c r="F41" s="32"/>
      <c r="G41" s="32"/>
      <c r="H41" s="32"/>
    </row>
    <row r="42" spans="1:8" ht="10.5" customHeight="1">
      <c r="A42" s="43"/>
      <c r="C42" s="34"/>
    </row>
    <row r="43" spans="1:8" ht="17.25" customHeight="1">
      <c r="A43" s="43"/>
      <c r="B43" s="44" t="s">
        <v>154</v>
      </c>
      <c r="C43" s="268" t="s">
        <v>155</v>
      </c>
      <c r="D43" s="268"/>
      <c r="E43" s="268"/>
      <c r="F43" s="268" t="s">
        <v>491</v>
      </c>
      <c r="G43" s="268"/>
      <c r="H43" s="268"/>
    </row>
    <row r="44" spans="1:8" ht="25.5" customHeight="1">
      <c r="A44" s="43"/>
      <c r="B44" s="45" t="s">
        <v>8</v>
      </c>
      <c r="C44" s="269" t="s">
        <v>156</v>
      </c>
      <c r="D44" s="269"/>
      <c r="E44" s="269"/>
      <c r="F44" s="269" t="s">
        <v>157</v>
      </c>
      <c r="G44" s="269"/>
      <c r="H44" s="269"/>
    </row>
  </sheetData>
  <mergeCells count="14">
    <mergeCell ref="A6:A7"/>
    <mergeCell ref="B6:B7"/>
    <mergeCell ref="C6:C7"/>
    <mergeCell ref="D6:D7"/>
    <mergeCell ref="E6:H6"/>
    <mergeCell ref="C43:E43"/>
    <mergeCell ref="F43:H43"/>
    <mergeCell ref="C44:E44"/>
    <mergeCell ref="F44:H44"/>
    <mergeCell ref="E1:H1"/>
    <mergeCell ref="F5:H5"/>
    <mergeCell ref="B2:H2"/>
    <mergeCell ref="B3:H3"/>
    <mergeCell ref="B4:H4"/>
  </mergeCells>
  <conditionalFormatting sqref="B3">
    <cfRule type="cellIs" dxfId="5" priority="2" operator="equal">
      <formula>0</formula>
    </cfRule>
  </conditionalFormatting>
  <conditionalFormatting sqref="B1">
    <cfRule type="containsText" dxfId="4" priority="1" operator="containsText" text="Для корек">
      <formula>NOT(ISERROR(SEARCH("Для корек",B1)))</formula>
    </cfRule>
  </conditionalFormatting>
  <pageMargins left="0.55118110236220474" right="0.39370078740157483" top="0.35433070866141736" bottom="0.234375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P35"/>
  <sheetViews>
    <sheetView view="pageBreakPreview" zoomScaleSheetLayoutView="100" workbookViewId="0">
      <pane ySplit="5" topLeftCell="A6" activePane="bottomLeft" state="frozen"/>
      <selection pane="bottomLeft" activeCell="J16" sqref="J16"/>
    </sheetView>
  </sheetViews>
  <sheetFormatPr defaultRowHeight="15"/>
  <cols>
    <col min="1" max="1" width="36" style="187" customWidth="1"/>
    <col min="2" max="9" width="12.140625" style="187" customWidth="1"/>
    <col min="10" max="11" width="11.5703125" style="187" bestFit="1" customWidth="1"/>
    <col min="12" max="16384" width="9.140625" style="187"/>
  </cols>
  <sheetData>
    <row r="1" spans="1:16" ht="75" customHeight="1">
      <c r="G1" s="282" t="s">
        <v>429</v>
      </c>
      <c r="H1" s="283"/>
      <c r="I1" s="283"/>
    </row>
    <row r="2" spans="1:16" ht="18" customHeight="1">
      <c r="A2" s="284" t="s">
        <v>215</v>
      </c>
      <c r="B2" s="284"/>
      <c r="C2" s="284"/>
      <c r="D2" s="284"/>
      <c r="E2" s="284"/>
      <c r="F2" s="284"/>
      <c r="G2" s="284"/>
      <c r="H2" s="284"/>
      <c r="I2" s="284"/>
    </row>
    <row r="3" spans="1:16">
      <c r="B3" s="285" t="str">
        <f>Д6!B3</f>
        <v>Комунальне підприємство Броварської міської ради Київської області "Броваритепловодоенергія"</v>
      </c>
      <c r="C3" s="285"/>
      <c r="D3" s="285"/>
      <c r="E3" s="285"/>
      <c r="F3" s="285"/>
    </row>
    <row r="4" spans="1:16">
      <c r="B4" s="286" t="s">
        <v>50</v>
      </c>
      <c r="C4" s="286"/>
      <c r="D4" s="286"/>
      <c r="E4" s="286"/>
      <c r="F4" s="286"/>
      <c r="I4" s="188" t="s">
        <v>216</v>
      </c>
    </row>
    <row r="5" spans="1:16" ht="76.5">
      <c r="A5" s="189" t="s">
        <v>217</v>
      </c>
      <c r="B5" s="189" t="s">
        <v>218</v>
      </c>
      <c r="C5" s="189" t="s">
        <v>219</v>
      </c>
      <c r="D5" s="189" t="s">
        <v>220</v>
      </c>
      <c r="E5" s="189" t="s">
        <v>221</v>
      </c>
      <c r="F5" s="189" t="s">
        <v>222</v>
      </c>
      <c r="G5" s="189" t="s">
        <v>223</v>
      </c>
      <c r="H5" s="189" t="s">
        <v>224</v>
      </c>
      <c r="I5" s="189" t="s">
        <v>225</v>
      </c>
    </row>
    <row r="6" spans="1:16">
      <c r="A6" s="190" t="s">
        <v>226</v>
      </c>
      <c r="B6" s="118">
        <v>363885.18</v>
      </c>
      <c r="C6" s="118">
        <v>159.47</v>
      </c>
      <c r="D6" s="118">
        <v>58027.9</v>
      </c>
      <c r="E6" s="118">
        <v>8246</v>
      </c>
      <c r="F6" s="118">
        <f>ROUND(D6/E6*7000,2)</f>
        <v>49259.68</v>
      </c>
      <c r="G6" s="118">
        <f>ROUND(H6/F6*1000,2)</f>
        <v>5295.44</v>
      </c>
      <c r="H6" s="118">
        <f>H7+H8+H9+H10</f>
        <v>260851.58</v>
      </c>
      <c r="I6" s="199">
        <v>4495.2786504422902</v>
      </c>
      <c r="J6" s="198">
        <f>ROUND(H6/D6*1000,2)</f>
        <v>4495.28</v>
      </c>
    </row>
    <row r="7" spans="1:16" ht="15.75">
      <c r="A7" s="190" t="s">
        <v>3</v>
      </c>
      <c r="B7" s="118">
        <v>320058.77</v>
      </c>
      <c r="C7" s="118">
        <v>159.47</v>
      </c>
      <c r="D7" s="118">
        <v>51039.006000000001</v>
      </c>
      <c r="E7" s="118">
        <v>8246</v>
      </c>
      <c r="F7" s="118">
        <f t="shared" ref="F7:F10" si="0">ROUND(D7/E7*7000,2)</f>
        <v>43326.83</v>
      </c>
      <c r="G7" s="197">
        <v>4942</v>
      </c>
      <c r="H7" s="118">
        <f>ROUND(G7*F7/1000,2)</f>
        <v>214121.19</v>
      </c>
      <c r="I7" s="199">
        <v>4195.2460829664278</v>
      </c>
      <c r="J7" s="198">
        <f t="shared" ref="J7:J10" si="1">ROUND(H7/D7*1000,2)</f>
        <v>4195.25</v>
      </c>
      <c r="M7" s="279">
        <v>4942</v>
      </c>
      <c r="N7" s="279"/>
      <c r="O7" s="279"/>
      <c r="P7" s="280"/>
    </row>
    <row r="8" spans="1:16">
      <c r="A8" s="190" t="s">
        <v>330</v>
      </c>
      <c r="B8" s="118">
        <v>247.07</v>
      </c>
      <c r="C8" s="118">
        <v>159.47</v>
      </c>
      <c r="D8" s="118">
        <v>39.4</v>
      </c>
      <c r="E8" s="118">
        <v>8246</v>
      </c>
      <c r="F8" s="118">
        <f t="shared" si="0"/>
        <v>33.450000000000003</v>
      </c>
      <c r="G8" s="197">
        <v>2471</v>
      </c>
      <c r="H8" s="118">
        <f t="shared" ref="H8:H10" si="2">ROUND(G8*F8/1000,2)</f>
        <v>82.65</v>
      </c>
      <c r="I8" s="199">
        <v>2097.7157360406095</v>
      </c>
      <c r="J8" s="198">
        <f t="shared" si="1"/>
        <v>2097.7199999999998</v>
      </c>
    </row>
    <row r="9" spans="1:16">
      <c r="A9" s="190" t="s">
        <v>149</v>
      </c>
      <c r="B9" s="118">
        <v>28485.01</v>
      </c>
      <c r="C9" s="118">
        <v>159.47</v>
      </c>
      <c r="D9" s="118">
        <v>4542.4359999999997</v>
      </c>
      <c r="E9" s="118">
        <v>8246</v>
      </c>
      <c r="F9" s="118">
        <f t="shared" si="0"/>
        <v>3856.06</v>
      </c>
      <c r="G9" s="197">
        <v>7907.2</v>
      </c>
      <c r="H9" s="118">
        <f t="shared" si="2"/>
        <v>30490.639999999999</v>
      </c>
      <c r="I9" s="199">
        <v>6712.3983695092247</v>
      </c>
      <c r="J9" s="198">
        <f t="shared" si="1"/>
        <v>6712.4</v>
      </c>
    </row>
    <row r="10" spans="1:16">
      <c r="A10" s="190" t="s">
        <v>151</v>
      </c>
      <c r="B10" s="118">
        <f>15341.4-B8</f>
        <v>15094.33</v>
      </c>
      <c r="C10" s="118">
        <v>159.47</v>
      </c>
      <c r="D10" s="118">
        <f>2446.457-D8</f>
        <v>2407.0569999999998</v>
      </c>
      <c r="E10" s="118">
        <v>8246</v>
      </c>
      <c r="F10" s="118">
        <f t="shared" si="0"/>
        <v>2043.34</v>
      </c>
      <c r="G10" s="197">
        <v>7907.2</v>
      </c>
      <c r="H10" s="118">
        <f t="shared" si="2"/>
        <v>16157.1</v>
      </c>
      <c r="I10" s="199">
        <v>6712.3877830894744</v>
      </c>
      <c r="J10" s="198">
        <f t="shared" si="1"/>
        <v>6712.39</v>
      </c>
    </row>
    <row r="11" spans="1:16">
      <c r="A11" s="190" t="s">
        <v>227</v>
      </c>
      <c r="B11" s="118"/>
      <c r="C11" s="118"/>
      <c r="D11" s="118"/>
      <c r="E11" s="118"/>
      <c r="F11" s="118"/>
      <c r="G11" s="118"/>
      <c r="H11" s="118"/>
      <c r="I11" s="199"/>
    </row>
    <row r="12" spans="1:16">
      <c r="A12" s="190" t="s">
        <v>3</v>
      </c>
      <c r="B12" s="118"/>
      <c r="C12" s="118"/>
      <c r="D12" s="118"/>
      <c r="E12" s="118"/>
      <c r="F12" s="118"/>
      <c r="G12" s="118"/>
      <c r="H12" s="118"/>
      <c r="I12" s="118"/>
    </row>
    <row r="13" spans="1:16">
      <c r="A13" s="190" t="s">
        <v>330</v>
      </c>
      <c r="B13" s="118"/>
      <c r="C13" s="118"/>
      <c r="D13" s="118"/>
      <c r="E13" s="118"/>
      <c r="F13" s="118"/>
      <c r="G13" s="118"/>
      <c r="H13" s="118"/>
      <c r="I13" s="118"/>
    </row>
    <row r="14" spans="1:16">
      <c r="A14" s="190" t="s">
        <v>149</v>
      </c>
      <c r="B14" s="118"/>
      <c r="C14" s="118"/>
      <c r="D14" s="118"/>
      <c r="E14" s="118"/>
      <c r="F14" s="118"/>
      <c r="G14" s="118"/>
      <c r="H14" s="118"/>
      <c r="I14" s="118"/>
      <c r="J14" s="196"/>
    </row>
    <row r="15" spans="1:16">
      <c r="A15" s="190" t="s">
        <v>151</v>
      </c>
      <c r="B15" s="118"/>
      <c r="C15" s="118"/>
      <c r="D15" s="118"/>
      <c r="E15" s="118"/>
      <c r="F15" s="118"/>
      <c r="G15" s="118"/>
      <c r="H15" s="118"/>
      <c r="I15" s="118"/>
    </row>
    <row r="16" spans="1:16">
      <c r="A16" s="190" t="s">
        <v>228</v>
      </c>
      <c r="B16" s="118"/>
      <c r="C16" s="118"/>
      <c r="D16" s="118"/>
      <c r="E16" s="118"/>
      <c r="F16" s="118"/>
      <c r="G16" s="118"/>
      <c r="H16" s="118"/>
      <c r="I16" s="118"/>
    </row>
    <row r="17" spans="1:9">
      <c r="A17" s="190" t="s">
        <v>3</v>
      </c>
      <c r="B17" s="118"/>
      <c r="C17" s="118"/>
      <c r="D17" s="118"/>
      <c r="E17" s="118"/>
      <c r="F17" s="118"/>
      <c r="G17" s="118"/>
      <c r="H17" s="118"/>
      <c r="I17" s="118"/>
    </row>
    <row r="18" spans="1:9">
      <c r="A18" s="190" t="s">
        <v>330</v>
      </c>
      <c r="B18" s="118"/>
      <c r="C18" s="118"/>
      <c r="D18" s="118"/>
      <c r="E18" s="118"/>
      <c r="F18" s="118"/>
      <c r="G18" s="118"/>
      <c r="H18" s="118"/>
      <c r="I18" s="118"/>
    </row>
    <row r="19" spans="1:9">
      <c r="A19" s="190" t="s">
        <v>149</v>
      </c>
      <c r="B19" s="118"/>
      <c r="C19" s="118"/>
      <c r="D19" s="118"/>
      <c r="E19" s="118"/>
      <c r="F19" s="118"/>
      <c r="G19" s="118"/>
      <c r="H19" s="118"/>
      <c r="I19" s="118"/>
    </row>
    <row r="20" spans="1:9">
      <c r="A20" s="190" t="s">
        <v>151</v>
      </c>
      <c r="B20" s="118"/>
      <c r="C20" s="118"/>
      <c r="D20" s="118"/>
      <c r="E20" s="118"/>
      <c r="F20" s="118"/>
      <c r="G20" s="118"/>
      <c r="H20" s="118"/>
      <c r="I20" s="118"/>
    </row>
    <row r="21" spans="1:9" ht="23.25" customHeight="1">
      <c r="A21" s="190" t="s">
        <v>229</v>
      </c>
      <c r="B21" s="118"/>
      <c r="C21" s="118"/>
      <c r="D21" s="118"/>
      <c r="E21" s="118"/>
      <c r="F21" s="118"/>
      <c r="G21" s="118"/>
      <c r="H21" s="118"/>
      <c r="I21" s="118"/>
    </row>
    <row r="22" spans="1:9">
      <c r="A22" s="190" t="s">
        <v>3</v>
      </c>
      <c r="B22" s="118"/>
      <c r="C22" s="118"/>
      <c r="D22" s="118"/>
      <c r="E22" s="118"/>
      <c r="F22" s="118"/>
      <c r="G22" s="118"/>
      <c r="H22" s="118"/>
      <c r="I22" s="118"/>
    </row>
    <row r="23" spans="1:9">
      <c r="A23" s="190" t="s">
        <v>330</v>
      </c>
      <c r="B23" s="118"/>
      <c r="C23" s="118"/>
      <c r="D23" s="118"/>
      <c r="E23" s="118"/>
      <c r="F23" s="118"/>
      <c r="G23" s="118"/>
      <c r="H23" s="118"/>
      <c r="I23" s="118"/>
    </row>
    <row r="24" spans="1:9">
      <c r="A24" s="190" t="s">
        <v>149</v>
      </c>
      <c r="B24" s="118"/>
      <c r="C24" s="118"/>
      <c r="D24" s="118"/>
      <c r="E24" s="118"/>
      <c r="F24" s="118"/>
      <c r="G24" s="118"/>
      <c r="H24" s="118"/>
      <c r="I24" s="118"/>
    </row>
    <row r="25" spans="1:9">
      <c r="A25" s="190" t="s">
        <v>151</v>
      </c>
      <c r="B25" s="118"/>
      <c r="C25" s="118"/>
      <c r="D25" s="118"/>
      <c r="E25" s="118"/>
      <c r="F25" s="118"/>
      <c r="G25" s="118"/>
      <c r="H25" s="118"/>
      <c r="I25" s="118"/>
    </row>
    <row r="26" spans="1:9" ht="25.5">
      <c r="A26" s="190" t="s">
        <v>230</v>
      </c>
      <c r="B26" s="118">
        <v>363885.18</v>
      </c>
      <c r="C26" s="118">
        <v>159.47</v>
      </c>
      <c r="D26" s="118">
        <v>58027.9</v>
      </c>
      <c r="E26" s="118">
        <v>8246</v>
      </c>
      <c r="F26" s="118">
        <f>ROUND(D26/E26*7000,2)</f>
        <v>49259.68</v>
      </c>
      <c r="G26" s="118">
        <f>ROUND(H26/F26*1000,2)</f>
        <v>5295.44</v>
      </c>
      <c r="H26" s="118">
        <f>H27+H28+H29+H30</f>
        <v>260851.58</v>
      </c>
      <c r="I26" s="199">
        <v>4495.2786504422902</v>
      </c>
    </row>
    <row r="27" spans="1:9">
      <c r="A27" s="190" t="s">
        <v>3</v>
      </c>
      <c r="B27" s="118">
        <v>320058.77</v>
      </c>
      <c r="C27" s="118">
        <v>159.47</v>
      </c>
      <c r="D27" s="118">
        <v>51039.006000000001</v>
      </c>
      <c r="E27" s="118">
        <v>8246</v>
      </c>
      <c r="F27" s="118">
        <f t="shared" ref="F27:F30" si="3">ROUND(D27/E27*7000,2)</f>
        <v>43326.83</v>
      </c>
      <c r="G27" s="197">
        <v>4942</v>
      </c>
      <c r="H27" s="118">
        <f>ROUND(G27*F27/1000,2)</f>
        <v>214121.19</v>
      </c>
      <c r="I27" s="199">
        <v>4195.2460829664278</v>
      </c>
    </row>
    <row r="28" spans="1:9">
      <c r="A28" s="190" t="s">
        <v>330</v>
      </c>
      <c r="B28" s="118">
        <v>247.07</v>
      </c>
      <c r="C28" s="118">
        <v>159.47</v>
      </c>
      <c r="D28" s="118">
        <v>39.4</v>
      </c>
      <c r="E28" s="118">
        <v>8246</v>
      </c>
      <c r="F28" s="118">
        <f t="shared" si="3"/>
        <v>33.450000000000003</v>
      </c>
      <c r="G28" s="197">
        <v>2471</v>
      </c>
      <c r="H28" s="118">
        <f t="shared" ref="H28:H30" si="4">ROUND(G28*F28/1000,2)</f>
        <v>82.65</v>
      </c>
      <c r="I28" s="199">
        <v>2097.7157360406095</v>
      </c>
    </row>
    <row r="29" spans="1:9">
      <c r="A29" s="190" t="s">
        <v>149</v>
      </c>
      <c r="B29" s="118">
        <v>28485.01</v>
      </c>
      <c r="C29" s="118">
        <v>159.47</v>
      </c>
      <c r="D29" s="118">
        <v>4542.4359999999997</v>
      </c>
      <c r="E29" s="118">
        <v>8246</v>
      </c>
      <c r="F29" s="118">
        <f t="shared" si="3"/>
        <v>3856.06</v>
      </c>
      <c r="G29" s="197">
        <v>7907.2</v>
      </c>
      <c r="H29" s="118">
        <f t="shared" si="4"/>
        <v>30490.639999999999</v>
      </c>
      <c r="I29" s="199">
        <v>6712.3983695092247</v>
      </c>
    </row>
    <row r="30" spans="1:9">
      <c r="A30" s="190" t="s">
        <v>151</v>
      </c>
      <c r="B30" s="118">
        <f>15341.4-B28</f>
        <v>15094.33</v>
      </c>
      <c r="C30" s="118">
        <v>159.47</v>
      </c>
      <c r="D30" s="118">
        <f>2446.457-D28</f>
        <v>2407.0569999999998</v>
      </c>
      <c r="E30" s="118">
        <v>8246</v>
      </c>
      <c r="F30" s="118">
        <f t="shared" si="3"/>
        <v>2043.34</v>
      </c>
      <c r="G30" s="197">
        <v>7907.2</v>
      </c>
      <c r="H30" s="118">
        <f t="shared" si="4"/>
        <v>16157.1</v>
      </c>
      <c r="I30" s="199">
        <v>6712.3877830894744</v>
      </c>
    </row>
    <row r="31" spans="1:9" ht="15" customHeight="1">
      <c r="A31" s="287"/>
      <c r="B31" s="287"/>
      <c r="C31" s="287"/>
      <c r="D31" s="287"/>
      <c r="E31" s="287"/>
      <c r="F31" s="287"/>
      <c r="G31" s="287"/>
      <c r="H31" s="287"/>
      <c r="I31" s="287"/>
    </row>
    <row r="32" spans="1:9" ht="9" customHeight="1">
      <c r="A32" s="191"/>
      <c r="B32" s="191"/>
      <c r="C32" s="191"/>
    </row>
    <row r="33" spans="1:9">
      <c r="A33" s="192" t="s">
        <v>154</v>
      </c>
      <c r="B33" s="191"/>
      <c r="C33" s="191"/>
      <c r="D33" s="281" t="s">
        <v>231</v>
      </c>
      <c r="E33" s="281"/>
      <c r="H33" s="281" t="s">
        <v>231</v>
      </c>
      <c r="I33" s="281"/>
    </row>
    <row r="34" spans="1:9">
      <c r="A34" s="193" t="s">
        <v>232</v>
      </c>
      <c r="B34" s="194"/>
      <c r="C34" s="194"/>
      <c r="D34" s="281" t="s">
        <v>156</v>
      </c>
      <c r="E34" s="281"/>
      <c r="H34" s="281" t="s">
        <v>492</v>
      </c>
      <c r="I34" s="281"/>
    </row>
    <row r="35" spans="1:9">
      <c r="A35" s="191"/>
      <c r="B35" s="195"/>
      <c r="C35" s="195"/>
    </row>
  </sheetData>
  <mergeCells count="12">
    <mergeCell ref="G1:I1"/>
    <mergeCell ref="A2:I2"/>
    <mergeCell ref="B3:F3"/>
    <mergeCell ref="B4:F4"/>
    <mergeCell ref="A31:C31"/>
    <mergeCell ref="D31:F31"/>
    <mergeCell ref="G31:I31"/>
    <mergeCell ref="M7:P7"/>
    <mergeCell ref="D33:E33"/>
    <mergeCell ref="H33:I33"/>
    <mergeCell ref="D34:E34"/>
    <mergeCell ref="H34:I34"/>
  </mergeCells>
  <conditionalFormatting sqref="B3:F3">
    <cfRule type="cellIs" dxfId="3" priority="1" operator="equal">
      <formula>0</formula>
    </cfRule>
  </conditionalFormatting>
  <printOptions horizontalCentered="1"/>
  <pageMargins left="0" right="0" top="0" bottom="0" header="0" footer="0"/>
  <pageSetup paperSize="9" scale="90" orientation="landscape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O52"/>
  <sheetViews>
    <sheetView view="pageBreakPreview" zoomScale="85" zoomScaleSheetLayoutView="85" workbookViewId="0">
      <pane ySplit="7" topLeftCell="A17" activePane="bottomLeft" state="frozen"/>
      <selection pane="bottomLeft" activeCell="D10" sqref="D10"/>
    </sheetView>
  </sheetViews>
  <sheetFormatPr defaultRowHeight="15"/>
  <cols>
    <col min="1" max="1" width="25" style="50" customWidth="1"/>
    <col min="2" max="2" width="12.28515625" style="50" customWidth="1"/>
    <col min="3" max="3" width="10.7109375" style="50" customWidth="1"/>
    <col min="4" max="4" width="10" style="50" customWidth="1"/>
    <col min="5" max="5" width="9.28515625" style="50" customWidth="1"/>
    <col min="6" max="6" width="9.85546875" style="50" customWidth="1"/>
    <col min="7" max="7" width="9.5703125" style="50" customWidth="1"/>
    <col min="8" max="11" width="8" style="50" customWidth="1"/>
    <col min="12" max="15" width="8.42578125" style="50" customWidth="1"/>
    <col min="16" max="16384" width="9.140625" style="50"/>
  </cols>
  <sheetData>
    <row r="1" spans="1:15" ht="73.5" customHeight="1">
      <c r="K1" s="294" t="s">
        <v>430</v>
      </c>
      <c r="L1" s="294"/>
      <c r="M1" s="294"/>
      <c r="N1" s="294"/>
      <c r="O1" s="294"/>
    </row>
    <row r="2" spans="1:15" ht="19.5" customHeight="1">
      <c r="L2" s="144"/>
      <c r="M2" s="144"/>
      <c r="N2" s="144"/>
      <c r="O2" s="144"/>
    </row>
    <row r="3" spans="1:15">
      <c r="A3" s="295" t="s">
        <v>423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</row>
    <row r="4" spans="1:15">
      <c r="A4" s="296" t="str">
        <f>Д7!B3</f>
        <v>Комунальне підприємство Броварської міської ради Київської області "Броваритепловодоенергія"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</row>
    <row r="5" spans="1:15">
      <c r="C5" s="297" t="s">
        <v>50</v>
      </c>
      <c r="D5" s="297"/>
      <c r="E5" s="297"/>
      <c r="F5" s="297"/>
      <c r="G5" s="297"/>
      <c r="H5" s="297"/>
      <c r="I5" s="297"/>
      <c r="J5" s="297"/>
      <c r="K5" s="297"/>
      <c r="N5" s="298" t="s">
        <v>216</v>
      </c>
      <c r="O5" s="298"/>
    </row>
    <row r="6" spans="1:15" ht="25.5">
      <c r="A6" s="48" t="s">
        <v>172</v>
      </c>
      <c r="B6" s="48" t="s">
        <v>52</v>
      </c>
      <c r="C6" s="48" t="s">
        <v>233</v>
      </c>
      <c r="D6" s="48" t="s">
        <v>14</v>
      </c>
      <c r="E6" s="48" t="s">
        <v>15</v>
      </c>
      <c r="F6" s="48" t="s">
        <v>16</v>
      </c>
      <c r="G6" s="48" t="s">
        <v>17</v>
      </c>
      <c r="H6" s="48" t="s">
        <v>234</v>
      </c>
      <c r="I6" s="48" t="s">
        <v>19</v>
      </c>
      <c r="J6" s="48" t="s">
        <v>20</v>
      </c>
      <c r="K6" s="48" t="s">
        <v>21</v>
      </c>
      <c r="L6" s="48" t="s">
        <v>22</v>
      </c>
      <c r="M6" s="48" t="s">
        <v>23</v>
      </c>
      <c r="N6" s="48" t="s">
        <v>24</v>
      </c>
      <c r="O6" s="48" t="s">
        <v>25</v>
      </c>
    </row>
    <row r="7" spans="1:15">
      <c r="A7" s="51">
        <v>1</v>
      </c>
      <c r="B7" s="48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>
        <v>8</v>
      </c>
      <c r="I7" s="48">
        <v>9</v>
      </c>
      <c r="J7" s="48">
        <v>10</v>
      </c>
      <c r="K7" s="48">
        <v>11</v>
      </c>
      <c r="L7" s="48">
        <v>12</v>
      </c>
      <c r="M7" s="48">
        <v>13</v>
      </c>
      <c r="N7" s="48">
        <v>14</v>
      </c>
      <c r="O7" s="48">
        <v>15</v>
      </c>
    </row>
    <row r="8" spans="1:15">
      <c r="A8" s="291" t="s">
        <v>422</v>
      </c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3"/>
    </row>
    <row r="9" spans="1:15" ht="25.5">
      <c r="A9" s="52" t="s">
        <v>393</v>
      </c>
      <c r="B9" s="48" t="s">
        <v>27</v>
      </c>
      <c r="C9" s="181">
        <f>D9+E9+F9+G9+H9+I9+J9+K9+L9+M9+N9+O9</f>
        <v>363885.17600000004</v>
      </c>
      <c r="D9" s="181">
        <v>69615.994000000006</v>
      </c>
      <c r="E9" s="181">
        <v>62478.133999999998</v>
      </c>
      <c r="F9" s="181">
        <v>51988.614000000001</v>
      </c>
      <c r="G9" s="181">
        <v>17377.954000000002</v>
      </c>
      <c r="H9" s="181">
        <v>7590.7340000000004</v>
      </c>
      <c r="I9" s="181">
        <v>7312.2340000000004</v>
      </c>
      <c r="J9" s="181">
        <v>65.903999999999996</v>
      </c>
      <c r="K9" s="181">
        <v>7555.9840000000004</v>
      </c>
      <c r="L9" s="181">
        <v>7347.2340000000004</v>
      </c>
      <c r="M9" s="181">
        <v>23853.54</v>
      </c>
      <c r="N9" s="181">
        <v>45133.16</v>
      </c>
      <c r="O9" s="181">
        <v>63565.69</v>
      </c>
    </row>
    <row r="10" spans="1:15" ht="43.5" customHeight="1">
      <c r="A10" s="52" t="s">
        <v>235</v>
      </c>
      <c r="B10" s="48" t="s">
        <v>112</v>
      </c>
      <c r="C10" s="181">
        <f t="shared" ref="C10:O10" si="0">C11/C9*1000</f>
        <v>20.636336666817115</v>
      </c>
      <c r="D10" s="181">
        <f t="shared" si="0"/>
        <v>16.470353062832078</v>
      </c>
      <c r="E10" s="181">
        <f t="shared" si="0"/>
        <v>16.748395526665377</v>
      </c>
      <c r="F10" s="181">
        <f t="shared" si="0"/>
        <v>21.439569441108777</v>
      </c>
      <c r="G10" s="181">
        <f t="shared" si="0"/>
        <v>29.790330898562626</v>
      </c>
      <c r="H10" s="181">
        <f t="shared" si="0"/>
        <v>29.963505505528186</v>
      </c>
      <c r="I10" s="181">
        <f t="shared" si="0"/>
        <v>30.107898625782489</v>
      </c>
      <c r="J10" s="181">
        <f t="shared" si="0"/>
        <v>3.5050983248361258</v>
      </c>
      <c r="K10" s="181">
        <f t="shared" si="0"/>
        <v>30.14630523304443</v>
      </c>
      <c r="L10" s="181">
        <f t="shared" si="0"/>
        <v>29.966243078687846</v>
      </c>
      <c r="M10" s="181">
        <f t="shared" si="0"/>
        <v>26.261762405076983</v>
      </c>
      <c r="N10" s="181">
        <f t="shared" si="0"/>
        <v>23.280443913078543</v>
      </c>
      <c r="O10" s="181">
        <f t="shared" si="0"/>
        <v>17.477950762431746</v>
      </c>
    </row>
    <row r="11" spans="1:15" ht="25.5">
      <c r="A11" s="52" t="s">
        <v>236</v>
      </c>
      <c r="B11" s="48" t="s">
        <v>237</v>
      </c>
      <c r="C11" s="53">
        <f t="shared" ref="C11:O11" si="1">C15+C12</f>
        <v>7509.2569999999996</v>
      </c>
      <c r="D11" s="53">
        <f t="shared" si="1"/>
        <v>1146.5999999999999</v>
      </c>
      <c r="E11" s="53">
        <f t="shared" si="1"/>
        <v>1046.4085</v>
      </c>
      <c r="F11" s="53">
        <f t="shared" si="1"/>
        <v>1114.6134999999999</v>
      </c>
      <c r="G11" s="53">
        <f t="shared" si="1"/>
        <v>517.69500000000005</v>
      </c>
      <c r="H11" s="53">
        <f t="shared" si="1"/>
        <v>227.44499999999999</v>
      </c>
      <c r="I11" s="53">
        <f t="shared" si="1"/>
        <v>220.15600000000001</v>
      </c>
      <c r="J11" s="53">
        <f t="shared" si="1"/>
        <v>0.23100000000000001</v>
      </c>
      <c r="K11" s="53">
        <f t="shared" si="1"/>
        <v>227.785</v>
      </c>
      <c r="L11" s="53">
        <f t="shared" si="1"/>
        <v>220.16900000000001</v>
      </c>
      <c r="M11" s="53">
        <f t="shared" si="1"/>
        <v>626.43600000000004</v>
      </c>
      <c r="N11" s="53">
        <f t="shared" si="1"/>
        <v>1050.72</v>
      </c>
      <c r="O11" s="181">
        <f t="shared" si="1"/>
        <v>1110.998</v>
      </c>
    </row>
    <row r="12" spans="1:15" ht="25.5">
      <c r="A12" s="52" t="s">
        <v>394</v>
      </c>
      <c r="B12" s="48" t="s">
        <v>237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</row>
    <row r="13" spans="1:15" ht="25.5">
      <c r="A13" s="52" t="s">
        <v>395</v>
      </c>
      <c r="B13" s="48" t="s">
        <v>396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</row>
    <row r="14" spans="1:15" ht="25.5">
      <c r="A14" s="52" t="s">
        <v>238</v>
      </c>
      <c r="B14" s="48" t="s">
        <v>58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</row>
    <row r="15" spans="1:15" ht="25.5">
      <c r="A15" s="52" t="s">
        <v>397</v>
      </c>
      <c r="B15" s="48" t="s">
        <v>237</v>
      </c>
      <c r="C15" s="182">
        <f>D15+E15+F15+G15+H15+I15+J15+K15+L15+M15+N15+O15</f>
        <v>7509.2569999999996</v>
      </c>
      <c r="D15" s="53">
        <v>1146.5999999999999</v>
      </c>
      <c r="E15" s="53">
        <v>1046.4085</v>
      </c>
      <c r="F15" s="53">
        <v>1114.6134999999999</v>
      </c>
      <c r="G15" s="53">
        <v>517.69500000000005</v>
      </c>
      <c r="H15" s="53">
        <v>227.44499999999999</v>
      </c>
      <c r="I15" s="53">
        <v>220.15600000000001</v>
      </c>
      <c r="J15" s="53">
        <v>0.23100000000000001</v>
      </c>
      <c r="K15" s="53">
        <v>227.785</v>
      </c>
      <c r="L15" s="53">
        <v>220.16900000000001</v>
      </c>
      <c r="M15" s="53">
        <v>626.43600000000004</v>
      </c>
      <c r="N15" s="53">
        <v>1050.72</v>
      </c>
      <c r="O15" s="182">
        <v>1110.998</v>
      </c>
    </row>
    <row r="16" spans="1:15" ht="25.5">
      <c r="A16" s="52" t="s">
        <v>239</v>
      </c>
      <c r="B16" s="48" t="s">
        <v>396</v>
      </c>
      <c r="C16" s="54">
        <v>184.5</v>
      </c>
      <c r="D16" s="54">
        <v>184.5</v>
      </c>
      <c r="E16" s="54">
        <v>184.5</v>
      </c>
      <c r="F16" s="54">
        <v>184.5</v>
      </c>
      <c r="G16" s="54">
        <v>184.5</v>
      </c>
      <c r="H16" s="54">
        <v>184.5</v>
      </c>
      <c r="I16" s="54">
        <v>184.5</v>
      </c>
      <c r="J16" s="54">
        <v>184.5</v>
      </c>
      <c r="K16" s="54">
        <v>184.5</v>
      </c>
      <c r="L16" s="54">
        <v>184.5</v>
      </c>
      <c r="M16" s="54">
        <v>184.5</v>
      </c>
      <c r="N16" s="54">
        <v>184.5</v>
      </c>
      <c r="O16" s="54">
        <v>184.5</v>
      </c>
    </row>
    <row r="17" spans="1:15" ht="25.5">
      <c r="A17" s="52" t="s">
        <v>240</v>
      </c>
      <c r="B17" s="48" t="s">
        <v>58</v>
      </c>
      <c r="C17" s="182">
        <f>D17+E17+F17+G17+H17+I17+J17+K17+L17+M17+N17+O17</f>
        <v>13854.579165000001</v>
      </c>
      <c r="D17" s="54">
        <f t="shared" ref="D17:O17" si="2">D15*D16/100</f>
        <v>2115.4769999999999</v>
      </c>
      <c r="E17" s="54">
        <f t="shared" si="2"/>
        <v>1930.6236825000001</v>
      </c>
      <c r="F17" s="54">
        <f t="shared" si="2"/>
        <v>2056.4619074999996</v>
      </c>
      <c r="G17" s="183">
        <f t="shared" si="2"/>
        <v>955.14727500000004</v>
      </c>
      <c r="H17" s="54">
        <f t="shared" si="2"/>
        <v>419.63602500000002</v>
      </c>
      <c r="I17" s="54">
        <f t="shared" si="2"/>
        <v>406.18781999999999</v>
      </c>
      <c r="J17" s="183">
        <f t="shared" si="2"/>
        <v>0.42619500000000005</v>
      </c>
      <c r="K17" s="54">
        <f t="shared" si="2"/>
        <v>420.26332499999995</v>
      </c>
      <c r="L17" s="54">
        <f t="shared" si="2"/>
        <v>406.21180500000003</v>
      </c>
      <c r="M17" s="54">
        <f t="shared" si="2"/>
        <v>1155.7744200000002</v>
      </c>
      <c r="N17" s="54">
        <f t="shared" si="2"/>
        <v>1938.5783999999999</v>
      </c>
      <c r="O17" s="54">
        <f t="shared" si="2"/>
        <v>2049.7913100000001</v>
      </c>
    </row>
    <row r="18" spans="1:15" ht="25.5">
      <c r="A18" s="52" t="s">
        <v>398</v>
      </c>
      <c r="B18" s="48" t="s">
        <v>237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</row>
    <row r="19" spans="1:15" ht="25.5">
      <c r="A19" s="52" t="s">
        <v>399</v>
      </c>
      <c r="B19" s="48" t="s">
        <v>396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</row>
    <row r="20" spans="1:15" ht="15.75" customHeight="1">
      <c r="A20" s="52" t="s">
        <v>400</v>
      </c>
      <c r="B20" s="48" t="s">
        <v>58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</row>
    <row r="21" spans="1:15" ht="25.5">
      <c r="A21" s="52" t="s">
        <v>241</v>
      </c>
      <c r="B21" s="48" t="s">
        <v>58</v>
      </c>
      <c r="C21" s="54">
        <f>SUM(D21:O21)</f>
        <v>13854.579165000001</v>
      </c>
      <c r="D21" s="54">
        <f t="shared" ref="D21:O21" si="3">D17</f>
        <v>2115.4769999999999</v>
      </c>
      <c r="E21" s="54">
        <f t="shared" si="3"/>
        <v>1930.6236825000001</v>
      </c>
      <c r="F21" s="54">
        <f t="shared" si="3"/>
        <v>2056.4619074999996</v>
      </c>
      <c r="G21" s="54">
        <f t="shared" si="3"/>
        <v>955.14727500000004</v>
      </c>
      <c r="H21" s="54">
        <f t="shared" si="3"/>
        <v>419.63602500000002</v>
      </c>
      <c r="I21" s="54">
        <f t="shared" si="3"/>
        <v>406.18781999999999</v>
      </c>
      <c r="J21" s="54">
        <f t="shared" si="3"/>
        <v>0.42619500000000005</v>
      </c>
      <c r="K21" s="54">
        <f t="shared" si="3"/>
        <v>420.26332499999995</v>
      </c>
      <c r="L21" s="54">
        <f t="shared" si="3"/>
        <v>406.21180500000003</v>
      </c>
      <c r="M21" s="54">
        <f t="shared" si="3"/>
        <v>1155.7744200000002</v>
      </c>
      <c r="N21" s="54">
        <f t="shared" si="3"/>
        <v>1938.5783999999999</v>
      </c>
      <c r="O21" s="54">
        <f t="shared" si="3"/>
        <v>2049.7913100000001</v>
      </c>
    </row>
    <row r="22" spans="1:15" ht="25.5">
      <c r="A22" s="52" t="s">
        <v>401</v>
      </c>
      <c r="B22" s="48" t="s">
        <v>242</v>
      </c>
      <c r="C22" s="182">
        <f>D22+E22+F22+G22+H22+I22+J22+K22+L22+M22+N22+O22</f>
        <v>2870.011</v>
      </c>
      <c r="D22" s="54">
        <v>438.226</v>
      </c>
      <c r="E22" s="54">
        <v>399.93400000000003</v>
      </c>
      <c r="F22" s="54">
        <v>426.00099999999998</v>
      </c>
      <c r="G22" s="54">
        <v>197.86099999999999</v>
      </c>
      <c r="H22" s="54">
        <v>86.929000000000002</v>
      </c>
      <c r="I22" s="54">
        <v>84.143000000000001</v>
      </c>
      <c r="J22" s="54">
        <v>8.7999999999999995E-2</v>
      </c>
      <c r="K22" s="54">
        <v>87.058999999999997</v>
      </c>
      <c r="L22" s="54">
        <v>84.147999999999996</v>
      </c>
      <c r="M22" s="54">
        <v>239.422</v>
      </c>
      <c r="N22" s="54">
        <v>401.58100000000002</v>
      </c>
      <c r="O22" s="54">
        <v>424.61900000000003</v>
      </c>
    </row>
    <row r="23" spans="1:15" ht="38.25">
      <c r="A23" s="52" t="s">
        <v>402</v>
      </c>
      <c r="B23" s="48" t="s">
        <v>403</v>
      </c>
      <c r="C23" s="184">
        <v>7.157</v>
      </c>
      <c r="D23" s="184">
        <v>7.157</v>
      </c>
      <c r="E23" s="184">
        <v>7.157</v>
      </c>
      <c r="F23" s="184">
        <v>7.157</v>
      </c>
      <c r="G23" s="184">
        <v>7.157</v>
      </c>
      <c r="H23" s="184">
        <v>7.157</v>
      </c>
      <c r="I23" s="184">
        <v>7.157</v>
      </c>
      <c r="J23" s="184">
        <v>7.157</v>
      </c>
      <c r="K23" s="184">
        <v>7.157</v>
      </c>
      <c r="L23" s="184">
        <v>7.157</v>
      </c>
      <c r="M23" s="184">
        <v>7.157</v>
      </c>
      <c r="N23" s="184">
        <v>7.157</v>
      </c>
      <c r="O23" s="184">
        <v>7.157</v>
      </c>
    </row>
    <row r="24" spans="1:15" ht="25.5">
      <c r="A24" s="52" t="s">
        <v>404</v>
      </c>
      <c r="B24" s="48" t="s">
        <v>58</v>
      </c>
      <c r="C24" s="182">
        <f>D24+E24+F24+G24+H24+I24+J24+K24+L24+M24+N24+O24</f>
        <v>205.40668727000002</v>
      </c>
      <c r="D24" s="183">
        <f t="shared" ref="D24:O24" si="4">D22*D23/100</f>
        <v>31.363834820000001</v>
      </c>
      <c r="E24" s="183">
        <f t="shared" si="4"/>
        <v>28.623276380000004</v>
      </c>
      <c r="F24" s="183">
        <f t="shared" si="4"/>
        <v>30.48889157</v>
      </c>
      <c r="G24" s="183">
        <f t="shared" si="4"/>
        <v>14.16091177</v>
      </c>
      <c r="H24" s="183">
        <f t="shared" si="4"/>
        <v>6.2215085299999995</v>
      </c>
      <c r="I24" s="183">
        <f t="shared" si="4"/>
        <v>6.0221145099999998</v>
      </c>
      <c r="J24" s="183">
        <f t="shared" si="4"/>
        <v>6.2981599999999997E-3</v>
      </c>
      <c r="K24" s="183">
        <f t="shared" si="4"/>
        <v>6.23081263</v>
      </c>
      <c r="L24" s="183">
        <f t="shared" si="4"/>
        <v>6.0224723599999992</v>
      </c>
      <c r="M24" s="183">
        <f t="shared" si="4"/>
        <v>17.13543254</v>
      </c>
      <c r="N24" s="183">
        <f t="shared" si="4"/>
        <v>28.741152169999999</v>
      </c>
      <c r="O24" s="183">
        <f t="shared" si="4"/>
        <v>30.38998183</v>
      </c>
    </row>
    <row r="25" spans="1:15" ht="25.5">
      <c r="A25" s="52" t="s">
        <v>405</v>
      </c>
      <c r="B25" s="48" t="s">
        <v>242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</row>
    <row r="26" spans="1:15" ht="38.25">
      <c r="A26" s="52" t="s">
        <v>406</v>
      </c>
      <c r="B26" s="48" t="s">
        <v>403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</row>
    <row r="27" spans="1:15" ht="25.5">
      <c r="A27" s="52" t="s">
        <v>407</v>
      </c>
      <c r="B27" s="48" t="s">
        <v>58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</row>
    <row r="28" spans="1:15" ht="51">
      <c r="A28" s="52" t="s">
        <v>408</v>
      </c>
      <c r="B28" s="48" t="s">
        <v>58</v>
      </c>
      <c r="C28" s="51">
        <f>SUM(D28:O28)</f>
        <v>14059.98585227</v>
      </c>
      <c r="D28" s="185">
        <f t="shared" ref="D28:O28" si="5">D17+D24</f>
        <v>2146.8408348200001</v>
      </c>
      <c r="E28" s="185">
        <f t="shared" si="5"/>
        <v>1959.2469588800002</v>
      </c>
      <c r="F28" s="185">
        <f t="shared" si="5"/>
        <v>2086.9507990699994</v>
      </c>
      <c r="G28" s="185">
        <f t="shared" si="5"/>
        <v>969.30818677000002</v>
      </c>
      <c r="H28" s="185">
        <f t="shared" si="5"/>
        <v>425.85753353000001</v>
      </c>
      <c r="I28" s="185">
        <f t="shared" si="5"/>
        <v>412.20993450999998</v>
      </c>
      <c r="J28" s="185">
        <f t="shared" si="5"/>
        <v>0.43249316000000004</v>
      </c>
      <c r="K28" s="185">
        <f t="shared" si="5"/>
        <v>426.49413762999995</v>
      </c>
      <c r="L28" s="185">
        <f t="shared" si="5"/>
        <v>412.23427736000002</v>
      </c>
      <c r="M28" s="185">
        <f t="shared" si="5"/>
        <v>1172.9098525400002</v>
      </c>
      <c r="N28" s="185">
        <f t="shared" si="5"/>
        <v>1967.31955217</v>
      </c>
      <c r="O28" s="185">
        <f t="shared" si="5"/>
        <v>2080.1812918300002</v>
      </c>
    </row>
    <row r="29" spans="1:15" ht="15" customHeight="1">
      <c r="A29" s="288" t="s">
        <v>409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90"/>
    </row>
    <row r="30" spans="1:15" ht="38.25">
      <c r="A30" s="52" t="s">
        <v>410</v>
      </c>
      <c r="B30" s="48" t="s">
        <v>411</v>
      </c>
      <c r="C30" s="181">
        <f>D30+E30+F30+G30+H30+I30+J30+K30+L30+M30+N30+O30</f>
        <v>363885.17600000004</v>
      </c>
      <c r="D30" s="181">
        <v>69615.994000000006</v>
      </c>
      <c r="E30" s="181">
        <v>62478.133999999998</v>
      </c>
      <c r="F30" s="181">
        <v>51988.614000000001</v>
      </c>
      <c r="G30" s="181">
        <v>17377.954000000002</v>
      </c>
      <c r="H30" s="181">
        <v>7590.7340000000004</v>
      </c>
      <c r="I30" s="181">
        <v>7312.2340000000004</v>
      </c>
      <c r="J30" s="181">
        <v>65.903999999999996</v>
      </c>
      <c r="K30" s="181">
        <v>7555.9840000000004</v>
      </c>
      <c r="L30" s="181">
        <v>7347.2340000000004</v>
      </c>
      <c r="M30" s="181">
        <v>23853.54</v>
      </c>
      <c r="N30" s="181">
        <v>45133.16</v>
      </c>
      <c r="O30" s="181">
        <v>63565.69</v>
      </c>
    </row>
    <row r="31" spans="1:15" ht="51">
      <c r="A31" s="52" t="s">
        <v>412</v>
      </c>
      <c r="B31" s="48" t="s">
        <v>413</v>
      </c>
      <c r="C31" s="181">
        <f t="shared" ref="C31:O31" si="6">C32/C30*1000</f>
        <v>2.9978525423635283</v>
      </c>
      <c r="D31" s="181">
        <f t="shared" si="6"/>
        <v>1.640476468668967</v>
      </c>
      <c r="E31" s="181">
        <f t="shared" si="6"/>
        <v>1.6515281970489066</v>
      </c>
      <c r="F31" s="181">
        <f t="shared" si="6"/>
        <v>2.1990642027887106</v>
      </c>
      <c r="G31" s="181">
        <f t="shared" si="6"/>
        <v>4.8356670756522888</v>
      </c>
      <c r="H31" s="181">
        <f t="shared" si="6"/>
        <v>11.196413943631802</v>
      </c>
      <c r="I31" s="181">
        <f t="shared" si="6"/>
        <v>11.318839085291854</v>
      </c>
      <c r="J31" s="181">
        <f t="shared" si="6"/>
        <v>0</v>
      </c>
      <c r="K31" s="181">
        <f t="shared" si="6"/>
        <v>11.31884344911265</v>
      </c>
      <c r="L31" s="181">
        <f t="shared" si="6"/>
        <v>11.264919560204561</v>
      </c>
      <c r="M31" s="181">
        <f t="shared" si="6"/>
        <v>4.7848243908451327</v>
      </c>
      <c r="N31" s="181">
        <f t="shared" si="6"/>
        <v>2.450947374391689</v>
      </c>
      <c r="O31" s="181">
        <f t="shared" si="6"/>
        <v>1.7985488712542881</v>
      </c>
    </row>
    <row r="32" spans="1:15" ht="25.5">
      <c r="A32" s="52" t="s">
        <v>414</v>
      </c>
      <c r="B32" s="48" t="s">
        <v>415</v>
      </c>
      <c r="C32" s="182">
        <f>D32+E32+F32+G32+H32+I32+J32+K32+L32+M32+N32+O32</f>
        <v>1090.8741</v>
      </c>
      <c r="D32" s="182">
        <f t="shared" ref="D32:O32" si="7">D33+D36</f>
        <v>114.2034</v>
      </c>
      <c r="E32" s="182">
        <f t="shared" si="7"/>
        <v>103.1844</v>
      </c>
      <c r="F32" s="182">
        <f t="shared" si="7"/>
        <v>114.3263</v>
      </c>
      <c r="G32" s="182">
        <f t="shared" si="7"/>
        <v>84.034000000000006</v>
      </c>
      <c r="H32" s="182">
        <f t="shared" si="7"/>
        <v>84.989000000000004</v>
      </c>
      <c r="I32" s="182">
        <f t="shared" si="7"/>
        <v>82.766000000000005</v>
      </c>
      <c r="J32" s="182">
        <f t="shared" si="7"/>
        <v>0</v>
      </c>
      <c r="K32" s="182">
        <f t="shared" si="7"/>
        <v>85.525000000000006</v>
      </c>
      <c r="L32" s="182">
        <f t="shared" si="7"/>
        <v>82.766000000000005</v>
      </c>
      <c r="M32" s="182">
        <f t="shared" si="7"/>
        <v>114.13500000000001</v>
      </c>
      <c r="N32" s="182">
        <f t="shared" si="7"/>
        <v>110.619</v>
      </c>
      <c r="O32" s="182">
        <f t="shared" si="7"/>
        <v>114.32599999999999</v>
      </c>
    </row>
    <row r="33" spans="1:15" ht="25.5">
      <c r="A33" s="52" t="s">
        <v>416</v>
      </c>
      <c r="B33" s="48" t="s">
        <v>415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</row>
    <row r="34" spans="1:15" ht="25.5">
      <c r="A34" s="52" t="s">
        <v>417</v>
      </c>
      <c r="B34" s="48" t="s">
        <v>418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</row>
    <row r="35" spans="1:15" ht="25.5">
      <c r="A35" s="52" t="s">
        <v>419</v>
      </c>
      <c r="B35" s="48" t="s">
        <v>420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</row>
    <row r="36" spans="1:15" ht="25.5">
      <c r="A36" s="52" t="s">
        <v>397</v>
      </c>
      <c r="B36" s="48" t="s">
        <v>237</v>
      </c>
      <c r="C36" s="182">
        <f>D36+E36+F36+G36+H36+I36+J36+K36+L36+M36+N36+O36</f>
        <v>1090.8741</v>
      </c>
      <c r="D36" s="182">
        <v>114.2034</v>
      </c>
      <c r="E36" s="182">
        <v>103.1844</v>
      </c>
      <c r="F36" s="182">
        <v>114.3263</v>
      </c>
      <c r="G36" s="182">
        <v>84.034000000000006</v>
      </c>
      <c r="H36" s="182">
        <v>84.989000000000004</v>
      </c>
      <c r="I36" s="182">
        <v>82.766000000000005</v>
      </c>
      <c r="J36" s="182">
        <v>0</v>
      </c>
      <c r="K36" s="182">
        <v>85.525000000000006</v>
      </c>
      <c r="L36" s="182">
        <v>82.766000000000005</v>
      </c>
      <c r="M36" s="182">
        <v>114.13500000000001</v>
      </c>
      <c r="N36" s="182">
        <v>110.619</v>
      </c>
      <c r="O36" s="182">
        <v>114.32599999999999</v>
      </c>
    </row>
    <row r="37" spans="1:15" ht="25.5">
      <c r="A37" s="52" t="s">
        <v>239</v>
      </c>
      <c r="B37" s="48" t="s">
        <v>396</v>
      </c>
      <c r="C37" s="54">
        <v>184.5</v>
      </c>
      <c r="D37" s="54">
        <v>184.5</v>
      </c>
      <c r="E37" s="54">
        <v>184.5</v>
      </c>
      <c r="F37" s="54">
        <v>184.5</v>
      </c>
      <c r="G37" s="54">
        <v>184.5</v>
      </c>
      <c r="H37" s="54">
        <v>184.5</v>
      </c>
      <c r="I37" s="54">
        <v>184.5</v>
      </c>
      <c r="J37" s="54">
        <v>184.5</v>
      </c>
      <c r="K37" s="54">
        <v>184.5</v>
      </c>
      <c r="L37" s="54">
        <v>184.5</v>
      </c>
      <c r="M37" s="54">
        <v>184.5</v>
      </c>
      <c r="N37" s="54">
        <v>184.5</v>
      </c>
      <c r="O37" s="54">
        <v>184.5</v>
      </c>
    </row>
    <row r="38" spans="1:15" ht="25.5">
      <c r="A38" s="52" t="s">
        <v>240</v>
      </c>
      <c r="B38" s="48" t="s">
        <v>58</v>
      </c>
      <c r="C38" s="182">
        <f>D38+E38+F38+G38+H38+I38+J38+K38+L38+M38+N38+O38</f>
        <v>2012.6627145000002</v>
      </c>
      <c r="D38" s="183">
        <f t="shared" ref="D38:O38" si="8">D36*D37/100</f>
        <v>210.70527300000001</v>
      </c>
      <c r="E38" s="183">
        <f t="shared" si="8"/>
        <v>190.37521799999999</v>
      </c>
      <c r="F38" s="183">
        <f t="shared" si="8"/>
        <v>210.93202349999999</v>
      </c>
      <c r="G38" s="183">
        <f t="shared" si="8"/>
        <v>155.04273000000001</v>
      </c>
      <c r="H38" s="183">
        <f t="shared" si="8"/>
        <v>156.80470500000001</v>
      </c>
      <c r="I38" s="183">
        <f t="shared" si="8"/>
        <v>152.70327</v>
      </c>
      <c r="J38" s="183">
        <f t="shared" si="8"/>
        <v>0</v>
      </c>
      <c r="K38" s="183">
        <f t="shared" si="8"/>
        <v>157.79362500000002</v>
      </c>
      <c r="L38" s="183">
        <f t="shared" si="8"/>
        <v>152.70327</v>
      </c>
      <c r="M38" s="183">
        <f t="shared" si="8"/>
        <v>210.57907500000002</v>
      </c>
      <c r="N38" s="183">
        <f t="shared" si="8"/>
        <v>204.09205499999999</v>
      </c>
      <c r="O38" s="183">
        <f t="shared" si="8"/>
        <v>210.93146999999996</v>
      </c>
    </row>
    <row r="39" spans="1:15" ht="25.5">
      <c r="A39" s="52" t="s">
        <v>398</v>
      </c>
      <c r="B39" s="48" t="s">
        <v>237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</row>
    <row r="40" spans="1:15" ht="25.5">
      <c r="A40" s="52" t="s">
        <v>399</v>
      </c>
      <c r="B40" s="48" t="s">
        <v>396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</row>
    <row r="41" spans="1:15" ht="25.5">
      <c r="A41" s="52" t="s">
        <v>400</v>
      </c>
      <c r="B41" s="48" t="s">
        <v>58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</row>
    <row r="42" spans="1:15" ht="25.5">
      <c r="A42" s="52" t="s">
        <v>241</v>
      </c>
      <c r="B42" s="48" t="s">
        <v>58</v>
      </c>
      <c r="C42" s="185">
        <f>SUM(D42:O42)</f>
        <v>2012.6627145000002</v>
      </c>
      <c r="D42" s="185">
        <f t="shared" ref="D42:O42" si="9">D38</f>
        <v>210.70527300000001</v>
      </c>
      <c r="E42" s="185">
        <f t="shared" si="9"/>
        <v>190.37521799999999</v>
      </c>
      <c r="F42" s="185">
        <f t="shared" si="9"/>
        <v>210.93202349999999</v>
      </c>
      <c r="G42" s="185">
        <f t="shared" si="9"/>
        <v>155.04273000000001</v>
      </c>
      <c r="H42" s="185">
        <f t="shared" si="9"/>
        <v>156.80470500000001</v>
      </c>
      <c r="I42" s="185">
        <f t="shared" si="9"/>
        <v>152.70327</v>
      </c>
      <c r="J42" s="185">
        <f t="shared" si="9"/>
        <v>0</v>
      </c>
      <c r="K42" s="185">
        <f t="shared" si="9"/>
        <v>157.79362500000002</v>
      </c>
      <c r="L42" s="185">
        <f t="shared" si="9"/>
        <v>152.70327</v>
      </c>
      <c r="M42" s="185">
        <f t="shared" si="9"/>
        <v>210.57907500000002</v>
      </c>
      <c r="N42" s="185">
        <f t="shared" si="9"/>
        <v>204.09205499999999</v>
      </c>
      <c r="O42" s="185">
        <f t="shared" si="9"/>
        <v>210.93146999999996</v>
      </c>
    </row>
    <row r="43" spans="1:15" ht="25.5">
      <c r="A43" s="52" t="s">
        <v>401</v>
      </c>
      <c r="B43" s="48" t="s">
        <v>242</v>
      </c>
      <c r="C43" s="182">
        <f>D43+E43+F43+G43+H43+I43+J43+K43+L43+M43+N43+O43</f>
        <v>416.92700000000002</v>
      </c>
      <c r="D43" s="54">
        <v>43.648000000000003</v>
      </c>
      <c r="E43" s="54">
        <v>39.436999999999998</v>
      </c>
      <c r="F43" s="54">
        <v>43.695</v>
      </c>
      <c r="G43" s="54">
        <v>32.116999999999997</v>
      </c>
      <c r="H43" s="54">
        <v>32.481999999999999</v>
      </c>
      <c r="I43" s="54">
        <v>31.632999999999999</v>
      </c>
      <c r="J43" s="54">
        <v>0</v>
      </c>
      <c r="K43" s="54">
        <v>32.686999999999998</v>
      </c>
      <c r="L43" s="54">
        <v>31.632999999999999</v>
      </c>
      <c r="M43" s="54">
        <v>43.622</v>
      </c>
      <c r="N43" s="54">
        <v>42.277999999999999</v>
      </c>
      <c r="O43" s="54">
        <v>43.695</v>
      </c>
    </row>
    <row r="44" spans="1:15" ht="38.25">
      <c r="A44" s="52" t="s">
        <v>402</v>
      </c>
      <c r="B44" s="48" t="s">
        <v>403</v>
      </c>
      <c r="C44" s="184">
        <v>7.157</v>
      </c>
      <c r="D44" s="184">
        <v>7.157</v>
      </c>
      <c r="E44" s="184">
        <v>7.157</v>
      </c>
      <c r="F44" s="184">
        <v>7.157</v>
      </c>
      <c r="G44" s="184">
        <v>7.157</v>
      </c>
      <c r="H44" s="184">
        <v>7.157</v>
      </c>
      <c r="I44" s="184">
        <v>7.157</v>
      </c>
      <c r="J44" s="184">
        <v>7.157</v>
      </c>
      <c r="K44" s="184">
        <v>7.157</v>
      </c>
      <c r="L44" s="184">
        <v>7.157</v>
      </c>
      <c r="M44" s="184">
        <v>7.157</v>
      </c>
      <c r="N44" s="184">
        <v>7.157</v>
      </c>
      <c r="O44" s="184">
        <v>7.157</v>
      </c>
    </row>
    <row r="45" spans="1:15" ht="25.5">
      <c r="A45" s="52" t="s">
        <v>404</v>
      </c>
      <c r="B45" s="48" t="s">
        <v>58</v>
      </c>
      <c r="C45" s="182">
        <f>D45+E45+F45+G45+H45+I45+J45+K45+L45+M45+N45+O45</f>
        <v>29.839465390000001</v>
      </c>
      <c r="D45" s="183">
        <f t="shared" ref="D45:O45" si="10">D43*D44/100</f>
        <v>3.1238873600000003</v>
      </c>
      <c r="E45" s="183">
        <f t="shared" si="10"/>
        <v>2.8225060900000001</v>
      </c>
      <c r="F45" s="183">
        <f t="shared" si="10"/>
        <v>3.1272511500000002</v>
      </c>
      <c r="G45" s="183">
        <f t="shared" si="10"/>
        <v>2.2986136899999998</v>
      </c>
      <c r="H45" s="183">
        <f t="shared" si="10"/>
        <v>2.3247367400000001</v>
      </c>
      <c r="I45" s="183">
        <f t="shared" si="10"/>
        <v>2.26397381</v>
      </c>
      <c r="J45" s="183">
        <f t="shared" si="10"/>
        <v>0</v>
      </c>
      <c r="K45" s="183">
        <f t="shared" si="10"/>
        <v>2.3394085899999997</v>
      </c>
      <c r="L45" s="183">
        <f t="shared" si="10"/>
        <v>2.26397381</v>
      </c>
      <c r="M45" s="183">
        <f t="shared" si="10"/>
        <v>3.1220265399999998</v>
      </c>
      <c r="N45" s="183">
        <f t="shared" si="10"/>
        <v>3.0258364599999998</v>
      </c>
      <c r="O45" s="183">
        <f t="shared" si="10"/>
        <v>3.1272511500000002</v>
      </c>
    </row>
    <row r="46" spans="1:15" ht="25.5">
      <c r="A46" s="52" t="s">
        <v>405</v>
      </c>
      <c r="B46" s="48" t="s">
        <v>242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</row>
    <row r="47" spans="1:15" ht="38.25">
      <c r="A47" s="52" t="s">
        <v>406</v>
      </c>
      <c r="B47" s="48" t="s">
        <v>403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</row>
    <row r="48" spans="1:15" ht="25.5">
      <c r="A48" s="52" t="s">
        <v>407</v>
      </c>
      <c r="B48" s="48" t="s">
        <v>58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</row>
    <row r="49" spans="1:15" ht="51">
      <c r="A49" s="52" t="s">
        <v>421</v>
      </c>
      <c r="B49" s="48" t="s">
        <v>420</v>
      </c>
      <c r="C49" s="185">
        <f>SUM(D49:O49)</f>
        <v>2042.5021798899998</v>
      </c>
      <c r="D49" s="185">
        <f t="shared" ref="D49:O49" si="11">D38+D45</f>
        <v>213.82916036</v>
      </c>
      <c r="E49" s="185">
        <f t="shared" si="11"/>
        <v>193.19772408999998</v>
      </c>
      <c r="F49" s="185">
        <f t="shared" si="11"/>
        <v>214.05927464999999</v>
      </c>
      <c r="G49" s="185">
        <f t="shared" si="11"/>
        <v>157.34134369</v>
      </c>
      <c r="H49" s="185">
        <f t="shared" si="11"/>
        <v>159.12944174</v>
      </c>
      <c r="I49" s="185">
        <f t="shared" si="11"/>
        <v>154.96724381000001</v>
      </c>
      <c r="J49" s="185">
        <f t="shared" si="11"/>
        <v>0</v>
      </c>
      <c r="K49" s="185">
        <f t="shared" si="11"/>
        <v>160.13303359000003</v>
      </c>
      <c r="L49" s="185">
        <f t="shared" si="11"/>
        <v>154.96724381000001</v>
      </c>
      <c r="M49" s="185">
        <f t="shared" si="11"/>
        <v>213.70110154000002</v>
      </c>
      <c r="N49" s="185">
        <f t="shared" si="11"/>
        <v>207.11789145999998</v>
      </c>
      <c r="O49" s="185">
        <f t="shared" si="11"/>
        <v>214.05872114999997</v>
      </c>
    </row>
    <row r="51" spans="1:15">
      <c r="A51" s="55" t="s">
        <v>47</v>
      </c>
      <c r="J51" s="186" t="s">
        <v>491</v>
      </c>
    </row>
    <row r="52" spans="1:15">
      <c r="A52" s="56" t="s">
        <v>243</v>
      </c>
    </row>
  </sheetData>
  <mergeCells count="7">
    <mergeCell ref="A29:O29"/>
    <mergeCell ref="A8:O8"/>
    <mergeCell ref="K1:O1"/>
    <mergeCell ref="A3:O3"/>
    <mergeCell ref="A4:O4"/>
    <mergeCell ref="C5:K5"/>
    <mergeCell ref="N5:O5"/>
  </mergeCells>
  <conditionalFormatting sqref="A4:O4">
    <cfRule type="cellIs" dxfId="2" priority="1" operator="equal">
      <formula>0</formula>
    </cfRule>
  </conditionalFormatting>
  <printOptions horizontalCentered="1"/>
  <pageMargins left="0" right="0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A1:K77"/>
  <sheetViews>
    <sheetView zoomScaleSheetLayoutView="100" workbookViewId="0">
      <pane ySplit="7" topLeftCell="A26" activePane="bottomLeft" state="frozen"/>
      <selection activeCell="E13" sqref="E13"/>
      <selection pane="bottomLeft" activeCell="E51" sqref="E51"/>
    </sheetView>
  </sheetViews>
  <sheetFormatPr defaultRowHeight="15"/>
  <cols>
    <col min="1" max="1" width="4.85546875" style="57" customWidth="1"/>
    <col min="2" max="2" width="39.140625" style="50" customWidth="1"/>
    <col min="3" max="3" width="9.140625" style="50"/>
    <col min="4" max="7" width="11.7109375" style="50" customWidth="1"/>
    <col min="8" max="9" width="9.140625" style="50"/>
    <col min="10" max="10" width="9.140625" style="50" customWidth="1"/>
    <col min="11" max="11" width="15" style="50" customWidth="1"/>
    <col min="12" max="16384" width="9.140625" style="50"/>
  </cols>
  <sheetData>
    <row r="1" spans="1:11" ht="85.5" customHeight="1">
      <c r="E1" s="304" t="s">
        <v>431</v>
      </c>
      <c r="F1" s="305"/>
      <c r="G1" s="305"/>
    </row>
    <row r="2" spans="1:11" ht="28.5" customHeight="1">
      <c r="B2" s="306" t="s">
        <v>244</v>
      </c>
      <c r="C2" s="296"/>
      <c r="D2" s="296"/>
      <c r="E2" s="296"/>
      <c r="F2" s="296"/>
    </row>
    <row r="3" spans="1:11">
      <c r="B3" s="307" t="str">
        <f>Д3!D3</f>
        <v>Комунальне підприємство Броварської міської ради Київської області "Броваритепловодоенергія"</v>
      </c>
      <c r="C3" s="307"/>
      <c r="D3" s="307"/>
      <c r="E3" s="307"/>
      <c r="F3" s="307"/>
    </row>
    <row r="4" spans="1:11">
      <c r="B4" s="308" t="s">
        <v>50</v>
      </c>
      <c r="C4" s="308"/>
      <c r="D4" s="308"/>
      <c r="E4" s="308"/>
      <c r="F4" s="308"/>
    </row>
    <row r="5" spans="1:11">
      <c r="F5" s="309" t="s">
        <v>216</v>
      </c>
      <c r="G5" s="309"/>
    </row>
    <row r="6" spans="1:11" ht="51" customHeight="1">
      <c r="A6" s="58" t="s">
        <v>10</v>
      </c>
      <c r="B6" s="59" t="s">
        <v>11</v>
      </c>
      <c r="C6" s="48" t="s">
        <v>52</v>
      </c>
      <c r="D6" s="48" t="s">
        <v>483</v>
      </c>
      <c r="E6" s="48" t="s">
        <v>484</v>
      </c>
      <c r="F6" s="48" t="s">
        <v>245</v>
      </c>
      <c r="G6" s="48" t="s">
        <v>6</v>
      </c>
    </row>
    <row r="7" spans="1:11">
      <c r="A7" s="58">
        <v>1</v>
      </c>
      <c r="B7" s="48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</row>
    <row r="8" spans="1:11">
      <c r="A8" s="299" t="s">
        <v>0</v>
      </c>
      <c r="B8" s="299"/>
      <c r="C8" s="299"/>
      <c r="D8" s="299"/>
      <c r="E8" s="299"/>
      <c r="F8" s="299"/>
      <c r="G8" s="299"/>
    </row>
    <row r="9" spans="1:11" ht="25.5">
      <c r="A9" s="60">
        <v>1</v>
      </c>
      <c r="B9" s="52" t="s">
        <v>246</v>
      </c>
      <c r="C9" s="48" t="s">
        <v>43</v>
      </c>
      <c r="D9" s="49">
        <v>275.69</v>
      </c>
      <c r="E9" s="49">
        <v>275.69</v>
      </c>
      <c r="F9" s="49">
        <v>275.69</v>
      </c>
      <c r="G9" s="49">
        <v>275.69</v>
      </c>
    </row>
    <row r="10" spans="1:11" ht="25.5">
      <c r="A10" s="60">
        <v>2</v>
      </c>
      <c r="B10" s="52" t="s">
        <v>247</v>
      </c>
      <c r="C10" s="48" t="s">
        <v>43</v>
      </c>
      <c r="D10" s="49">
        <v>159.01</v>
      </c>
      <c r="E10" s="49">
        <v>177</v>
      </c>
      <c r="F10" s="200">
        <v>156.72999999999999</v>
      </c>
      <c r="G10" s="200">
        <v>156.72999999999999</v>
      </c>
    </row>
    <row r="11" spans="1:11" ht="38.25">
      <c r="A11" s="60">
        <v>3</v>
      </c>
      <c r="B11" s="52" t="s">
        <v>248</v>
      </c>
      <c r="C11" s="48" t="s">
        <v>249</v>
      </c>
      <c r="D11" s="49">
        <v>0.04</v>
      </c>
      <c r="E11" s="49">
        <v>0.03</v>
      </c>
      <c r="F11" s="118">
        <v>135.37</v>
      </c>
      <c r="G11" s="118">
        <v>135.37</v>
      </c>
    </row>
    <row r="12" spans="1:11">
      <c r="A12" s="60" t="s">
        <v>89</v>
      </c>
      <c r="B12" s="52" t="s">
        <v>250</v>
      </c>
      <c r="C12" s="48"/>
      <c r="D12" s="49">
        <v>0</v>
      </c>
      <c r="E12" s="49">
        <v>0</v>
      </c>
      <c r="F12" s="49">
        <v>0</v>
      </c>
      <c r="G12" s="49">
        <v>0</v>
      </c>
    </row>
    <row r="13" spans="1:11" ht="38.25">
      <c r="A13" s="60">
        <v>4</v>
      </c>
      <c r="B13" s="52" t="s">
        <v>251</v>
      </c>
      <c r="C13" s="48" t="s">
        <v>252</v>
      </c>
      <c r="D13" s="49">
        <v>162.57</v>
      </c>
      <c r="E13" s="49">
        <v>158.96</v>
      </c>
      <c r="F13" s="118">
        <v>0</v>
      </c>
      <c r="G13" s="118">
        <v>0</v>
      </c>
    </row>
    <row r="14" spans="1:11" ht="38.25">
      <c r="A14" s="60">
        <v>5</v>
      </c>
      <c r="B14" s="52" t="s">
        <v>253</v>
      </c>
      <c r="C14" s="48" t="s">
        <v>252</v>
      </c>
      <c r="D14" s="49">
        <v>163.9</v>
      </c>
      <c r="E14" s="49">
        <v>163.9</v>
      </c>
      <c r="F14" s="49">
        <v>159.5</v>
      </c>
      <c r="G14" s="49">
        <v>159.5</v>
      </c>
    </row>
    <row r="15" spans="1:11" ht="29.25">
      <c r="A15" s="60">
        <v>6</v>
      </c>
      <c r="B15" s="52" t="s">
        <v>254</v>
      </c>
      <c r="C15" s="48" t="s">
        <v>27</v>
      </c>
      <c r="D15" s="49">
        <v>262631.81</v>
      </c>
      <c r="E15" s="49">
        <v>260067.14</v>
      </c>
      <c r="F15" s="49">
        <v>372070.73</v>
      </c>
      <c r="G15" s="49">
        <v>372070.73</v>
      </c>
      <c r="J15" s="302"/>
      <c r="K15" s="303"/>
    </row>
    <row r="16" spans="1:11" ht="38.25">
      <c r="A16" s="60">
        <v>7</v>
      </c>
      <c r="B16" s="52" t="s">
        <v>255</v>
      </c>
      <c r="C16" s="48" t="s">
        <v>27</v>
      </c>
      <c r="D16" s="49">
        <v>3688.38</v>
      </c>
      <c r="E16" s="49">
        <v>5730.46</v>
      </c>
      <c r="F16" s="49">
        <v>8185.55</v>
      </c>
      <c r="G16" s="49">
        <v>8185.55</v>
      </c>
    </row>
    <row r="17" spans="1:7" ht="25.5">
      <c r="A17" s="60">
        <v>8</v>
      </c>
      <c r="B17" s="52" t="s">
        <v>256</v>
      </c>
      <c r="C17" s="48" t="s">
        <v>27</v>
      </c>
      <c r="D17" s="49">
        <v>258943</v>
      </c>
      <c r="E17" s="49">
        <v>254337</v>
      </c>
      <c r="F17" s="49">
        <v>363885.18</v>
      </c>
      <c r="G17" s="49">
        <v>363885.18</v>
      </c>
    </row>
    <row r="18" spans="1:7" ht="25.5">
      <c r="A18" s="60">
        <v>9</v>
      </c>
      <c r="B18" s="52" t="s">
        <v>257</v>
      </c>
      <c r="C18" s="48" t="s">
        <v>258</v>
      </c>
      <c r="D18" s="49">
        <v>197</v>
      </c>
      <c r="E18" s="49">
        <v>193</v>
      </c>
      <c r="F18" s="68">
        <v>237</v>
      </c>
      <c r="G18" s="68">
        <v>237</v>
      </c>
    </row>
    <row r="19" spans="1:7" ht="25.5">
      <c r="A19" s="60">
        <v>10</v>
      </c>
      <c r="B19" s="52" t="s">
        <v>259</v>
      </c>
      <c r="C19" s="48" t="s">
        <v>260</v>
      </c>
      <c r="D19" s="49">
        <v>4414</v>
      </c>
      <c r="E19" s="49">
        <v>4304</v>
      </c>
      <c r="F19" s="49">
        <v>3662</v>
      </c>
      <c r="G19" s="49">
        <v>3662</v>
      </c>
    </row>
    <row r="20" spans="1:7" ht="25.5">
      <c r="A20" s="60">
        <v>11</v>
      </c>
      <c r="B20" s="52" t="s">
        <v>261</v>
      </c>
      <c r="C20" s="48" t="s">
        <v>58</v>
      </c>
      <c r="D20" s="49">
        <v>10434</v>
      </c>
      <c r="E20" s="49">
        <v>9969</v>
      </c>
      <c r="F20" s="49">
        <v>10421</v>
      </c>
      <c r="G20" s="49">
        <v>10421</v>
      </c>
    </row>
    <row r="21" spans="1:7" ht="38.25">
      <c r="A21" s="60">
        <v>12</v>
      </c>
      <c r="B21" s="52" t="s">
        <v>262</v>
      </c>
      <c r="C21" s="48" t="s">
        <v>58</v>
      </c>
      <c r="D21" s="134">
        <v>605</v>
      </c>
      <c r="E21" s="134">
        <v>235</v>
      </c>
      <c r="F21" s="201">
        <v>280.8</v>
      </c>
      <c r="G21" s="201">
        <v>280.8</v>
      </c>
    </row>
    <row r="22" spans="1:7">
      <c r="A22" s="60" t="s">
        <v>142</v>
      </c>
      <c r="B22" s="52" t="s">
        <v>263</v>
      </c>
      <c r="C22" s="48" t="s">
        <v>58</v>
      </c>
      <c r="D22" s="134">
        <v>605</v>
      </c>
      <c r="E22" s="134">
        <v>235</v>
      </c>
      <c r="F22" s="49">
        <v>280.8</v>
      </c>
      <c r="G22" s="49">
        <v>280.8</v>
      </c>
    </row>
    <row r="23" spans="1:7" ht="25.5">
      <c r="A23" s="60">
        <v>13</v>
      </c>
      <c r="B23" s="52" t="s">
        <v>264</v>
      </c>
      <c r="C23" s="48" t="s">
        <v>58</v>
      </c>
      <c r="D23" s="134">
        <v>926</v>
      </c>
      <c r="E23" s="134">
        <v>883</v>
      </c>
      <c r="F23" s="49">
        <v>871.5</v>
      </c>
      <c r="G23" s="49">
        <v>871.5</v>
      </c>
    </row>
    <row r="24" spans="1:7" ht="25.5">
      <c r="A24" s="60">
        <v>14</v>
      </c>
      <c r="B24" s="52" t="s">
        <v>265</v>
      </c>
      <c r="C24" s="48" t="s">
        <v>58</v>
      </c>
      <c r="D24" s="134">
        <v>11523</v>
      </c>
      <c r="E24" s="134">
        <v>11569</v>
      </c>
      <c r="F24" s="49">
        <v>8187</v>
      </c>
      <c r="G24" s="49">
        <v>8187</v>
      </c>
    </row>
    <row r="25" spans="1:7">
      <c r="A25" s="299" t="s">
        <v>1</v>
      </c>
      <c r="B25" s="299"/>
      <c r="C25" s="299"/>
      <c r="D25" s="299"/>
      <c r="E25" s="299"/>
      <c r="F25" s="299"/>
      <c r="G25" s="299"/>
    </row>
    <row r="26" spans="1:7" ht="25.5">
      <c r="A26" s="60">
        <v>1</v>
      </c>
      <c r="B26" s="52" t="s">
        <v>266</v>
      </c>
      <c r="C26" s="48" t="s">
        <v>267</v>
      </c>
      <c r="D26" s="135">
        <v>79.180000000000007</v>
      </c>
      <c r="E26" s="135">
        <v>79.180000000000007</v>
      </c>
      <c r="F26" s="200">
        <v>79.674999999999997</v>
      </c>
      <c r="G26" s="200">
        <v>79.674999999999997</v>
      </c>
    </row>
    <row r="27" spans="1:7" ht="25.5">
      <c r="A27" s="60">
        <v>2</v>
      </c>
      <c r="B27" s="52" t="s">
        <v>257</v>
      </c>
      <c r="C27" s="48" t="s">
        <v>258</v>
      </c>
      <c r="D27" s="49">
        <v>109</v>
      </c>
      <c r="E27" s="134">
        <v>109</v>
      </c>
      <c r="F27" s="49">
        <v>147</v>
      </c>
      <c r="G27" s="49">
        <v>147</v>
      </c>
    </row>
    <row r="28" spans="1:7" ht="25.5">
      <c r="A28" s="60">
        <v>3</v>
      </c>
      <c r="B28" s="52" t="s">
        <v>259</v>
      </c>
      <c r="C28" s="48" t="s">
        <v>268</v>
      </c>
      <c r="D28" s="49">
        <v>4712</v>
      </c>
      <c r="E28" s="49">
        <v>4602</v>
      </c>
      <c r="F28" s="49">
        <v>3902</v>
      </c>
      <c r="G28" s="49">
        <v>3902</v>
      </c>
    </row>
    <row r="29" spans="1:7" ht="25.5">
      <c r="A29" s="60">
        <v>4</v>
      </c>
      <c r="B29" s="52" t="s">
        <v>269</v>
      </c>
      <c r="C29" s="48" t="s">
        <v>27</v>
      </c>
      <c r="D29" s="49">
        <v>258943.43</v>
      </c>
      <c r="E29" s="49">
        <v>254336.67800000001</v>
      </c>
      <c r="F29" s="49">
        <f t="shared" ref="F29" si="0">F17</f>
        <v>363885.18</v>
      </c>
      <c r="G29" s="49">
        <f t="shared" ref="G29" si="1">G17</f>
        <v>363885.18</v>
      </c>
    </row>
    <row r="30" spans="1:7" ht="25.5">
      <c r="A30" s="60">
        <v>5</v>
      </c>
      <c r="B30" s="52" t="s">
        <v>270</v>
      </c>
      <c r="C30" s="48" t="s">
        <v>27</v>
      </c>
      <c r="D30" s="49">
        <v>33770</v>
      </c>
      <c r="E30" s="49">
        <v>31549</v>
      </c>
      <c r="F30" s="66">
        <v>39832.29</v>
      </c>
      <c r="G30" s="66">
        <v>39832.29</v>
      </c>
    </row>
    <row r="31" spans="1:7">
      <c r="A31" s="60" t="s">
        <v>40</v>
      </c>
      <c r="B31" s="52" t="s">
        <v>271</v>
      </c>
      <c r="C31" s="48" t="s">
        <v>4</v>
      </c>
      <c r="D31" s="200">
        <f>D30/D29*100</f>
        <v>13.041458514703386</v>
      </c>
      <c r="E31" s="200">
        <f>E30/E29*100</f>
        <v>12.404424028845733</v>
      </c>
      <c r="F31" s="165">
        <v>10.94637994835403</v>
      </c>
      <c r="G31" s="165">
        <v>10.94637994835403</v>
      </c>
    </row>
    <row r="32" spans="1:7" ht="25.5">
      <c r="A32" s="60">
        <v>6</v>
      </c>
      <c r="B32" s="52" t="s">
        <v>272</v>
      </c>
      <c r="C32" s="48" t="s">
        <v>27</v>
      </c>
      <c r="D32" s="49">
        <v>28354</v>
      </c>
      <c r="E32" s="49">
        <v>32301</v>
      </c>
      <c r="F32" s="49">
        <v>39832.29</v>
      </c>
      <c r="G32" s="49">
        <v>39832.29</v>
      </c>
    </row>
    <row r="33" spans="1:7">
      <c r="A33" s="60" t="s">
        <v>44</v>
      </c>
      <c r="B33" s="52" t="s">
        <v>271</v>
      </c>
      <c r="C33" s="48" t="s">
        <v>4</v>
      </c>
      <c r="D33" s="200">
        <f>D32/D29*100</f>
        <v>10.94988198773763</v>
      </c>
      <c r="E33" s="200">
        <f>E32/E29*100</f>
        <v>12.700095107792514</v>
      </c>
      <c r="F33" s="49">
        <v>10.9</v>
      </c>
      <c r="G33" s="49">
        <v>10.9</v>
      </c>
    </row>
    <row r="34" spans="1:7" ht="25.5">
      <c r="A34" s="60">
        <v>7</v>
      </c>
      <c r="B34" s="52" t="s">
        <v>273</v>
      </c>
      <c r="C34" s="48" t="s">
        <v>27</v>
      </c>
      <c r="D34" s="49" t="s">
        <v>493</v>
      </c>
      <c r="E34" s="49">
        <v>228225</v>
      </c>
      <c r="F34" s="49">
        <v>323649.14</v>
      </c>
      <c r="G34" s="49">
        <v>323649.14</v>
      </c>
    </row>
    <row r="35" spans="1:7" ht="25.5">
      <c r="A35" s="60" t="s">
        <v>93</v>
      </c>
      <c r="B35" s="52" t="s">
        <v>274</v>
      </c>
      <c r="C35" s="48" t="s">
        <v>27</v>
      </c>
      <c r="D35" s="49">
        <v>0</v>
      </c>
      <c r="E35" s="49">
        <v>0</v>
      </c>
      <c r="F35" s="49">
        <v>0</v>
      </c>
      <c r="G35" s="49">
        <v>0</v>
      </c>
    </row>
    <row r="36" spans="1:7">
      <c r="A36" s="60" t="s">
        <v>95</v>
      </c>
      <c r="B36" s="52" t="s">
        <v>275</v>
      </c>
      <c r="C36" s="48" t="s">
        <v>27</v>
      </c>
      <c r="D36" s="49">
        <v>229648</v>
      </c>
      <c r="E36" s="49">
        <f>228225</f>
        <v>228225</v>
      </c>
      <c r="F36" s="49">
        <f t="shared" ref="F36" si="2">F34</f>
        <v>323649.14</v>
      </c>
      <c r="G36" s="49">
        <f t="shared" ref="G36" si="3">G34</f>
        <v>323649.14</v>
      </c>
    </row>
    <row r="37" spans="1:7">
      <c r="A37" s="60" t="s">
        <v>276</v>
      </c>
      <c r="B37" s="52" t="s">
        <v>135</v>
      </c>
      <c r="C37" s="48" t="s">
        <v>27</v>
      </c>
      <c r="D37" s="49">
        <f>D36-D38</f>
        <v>225173.88</v>
      </c>
      <c r="E37" s="49">
        <f>228225-E38</f>
        <v>222788.13</v>
      </c>
      <c r="F37" s="49">
        <f t="shared" ref="F37" si="4">F36</f>
        <v>323649.14</v>
      </c>
      <c r="G37" s="49">
        <f t="shared" ref="G37" si="5">G36</f>
        <v>323649.14</v>
      </c>
    </row>
    <row r="38" spans="1:7">
      <c r="A38" s="60" t="s">
        <v>277</v>
      </c>
      <c r="B38" s="52" t="s">
        <v>140</v>
      </c>
      <c r="C38" s="48" t="s">
        <v>27</v>
      </c>
      <c r="D38" s="49">
        <v>4474.12</v>
      </c>
      <c r="E38" s="49">
        <v>5436.87</v>
      </c>
      <c r="F38" s="49">
        <v>0</v>
      </c>
      <c r="G38" s="49">
        <v>0</v>
      </c>
    </row>
    <row r="39" spans="1:7" ht="25.5">
      <c r="A39" s="60">
        <v>8</v>
      </c>
      <c r="B39" s="52" t="s">
        <v>261</v>
      </c>
      <c r="C39" s="48" t="s">
        <v>58</v>
      </c>
      <c r="D39" s="49">
        <v>6163</v>
      </c>
      <c r="E39" s="49">
        <v>6020</v>
      </c>
      <c r="F39" s="49">
        <v>6873</v>
      </c>
      <c r="G39" s="49">
        <v>6873</v>
      </c>
    </row>
    <row r="40" spans="1:7" ht="38.25">
      <c r="A40" s="60">
        <v>9</v>
      </c>
      <c r="B40" s="52" t="s">
        <v>262</v>
      </c>
      <c r="C40" s="48" t="s">
        <v>58</v>
      </c>
      <c r="D40" s="134">
        <v>820</v>
      </c>
      <c r="E40" s="134">
        <v>702</v>
      </c>
      <c r="F40" s="201">
        <v>304.8</v>
      </c>
      <c r="G40" s="201">
        <v>304.8</v>
      </c>
    </row>
    <row r="41" spans="1:7">
      <c r="A41" s="60" t="s">
        <v>278</v>
      </c>
      <c r="B41" s="52" t="s">
        <v>263</v>
      </c>
      <c r="C41" s="48" t="s">
        <v>58</v>
      </c>
      <c r="D41" s="134">
        <v>820</v>
      </c>
      <c r="E41" s="134">
        <v>702</v>
      </c>
      <c r="F41" s="49">
        <v>304.8</v>
      </c>
      <c r="G41" s="49">
        <v>304.8</v>
      </c>
    </row>
    <row r="42" spans="1:7" ht="25.5">
      <c r="A42" s="60">
        <v>10</v>
      </c>
      <c r="B42" s="52" t="s">
        <v>264</v>
      </c>
      <c r="C42" s="48" t="s">
        <v>58</v>
      </c>
      <c r="D42" s="49">
        <v>2245</v>
      </c>
      <c r="E42" s="49">
        <v>2538</v>
      </c>
      <c r="F42" s="49">
        <v>2085</v>
      </c>
      <c r="G42" s="49">
        <v>2085</v>
      </c>
    </row>
    <row r="43" spans="1:7" ht="25.5">
      <c r="A43" s="60">
        <v>11</v>
      </c>
      <c r="B43" s="52" t="s">
        <v>265</v>
      </c>
      <c r="C43" s="48" t="s">
        <v>58</v>
      </c>
      <c r="D43" s="49">
        <v>1593</v>
      </c>
      <c r="E43" s="49">
        <v>1441</v>
      </c>
      <c r="F43" s="49">
        <v>1189.4000000000001</v>
      </c>
      <c r="G43" s="49">
        <v>1189.4000000000001</v>
      </c>
    </row>
    <row r="44" spans="1:7" ht="51">
      <c r="A44" s="60" t="s">
        <v>279</v>
      </c>
      <c r="B44" s="52" t="s">
        <v>280</v>
      </c>
      <c r="C44" s="48" t="s">
        <v>43</v>
      </c>
      <c r="D44" s="49">
        <v>159.01</v>
      </c>
      <c r="E44" s="49">
        <v>177</v>
      </c>
      <c r="F44" s="201">
        <v>156.72999999999999</v>
      </c>
      <c r="G44" s="201">
        <v>156.72999999999999</v>
      </c>
    </row>
    <row r="45" spans="1:7">
      <c r="A45" s="60" t="s">
        <v>142</v>
      </c>
      <c r="B45" s="52" t="s">
        <v>3</v>
      </c>
      <c r="C45" s="48" t="s">
        <v>43</v>
      </c>
      <c r="D45" s="49">
        <v>143.19</v>
      </c>
      <c r="E45" s="49">
        <v>161</v>
      </c>
      <c r="F45" s="201">
        <v>136.54</v>
      </c>
      <c r="G45" s="201">
        <v>136.54</v>
      </c>
    </row>
    <row r="46" spans="1:7">
      <c r="A46" s="60" t="s">
        <v>144</v>
      </c>
      <c r="B46" s="52" t="s">
        <v>341</v>
      </c>
      <c r="C46" s="48" t="s">
        <v>43</v>
      </c>
      <c r="D46" s="49"/>
      <c r="E46" s="49"/>
      <c r="F46" s="201"/>
      <c r="G46" s="201"/>
    </row>
    <row r="47" spans="1:7">
      <c r="A47" s="60" t="s">
        <v>146</v>
      </c>
      <c r="B47" s="128" t="s">
        <v>149</v>
      </c>
      <c r="C47" s="48" t="s">
        <v>43</v>
      </c>
      <c r="D47" s="49">
        <v>8.91</v>
      </c>
      <c r="E47" s="49">
        <v>9</v>
      </c>
      <c r="F47" s="201">
        <v>13.08</v>
      </c>
      <c r="G47" s="201">
        <v>13.08</v>
      </c>
    </row>
    <row r="48" spans="1:7">
      <c r="A48" s="60" t="s">
        <v>340</v>
      </c>
      <c r="B48" s="52" t="s">
        <v>151</v>
      </c>
      <c r="C48" s="48" t="s">
        <v>43</v>
      </c>
      <c r="D48" s="49">
        <v>6.91</v>
      </c>
      <c r="E48" s="49">
        <v>7</v>
      </c>
      <c r="F48" s="201">
        <v>7.12</v>
      </c>
      <c r="G48" s="201">
        <v>7.12</v>
      </c>
    </row>
    <row r="49" spans="1:7">
      <c r="A49" s="299" t="s">
        <v>2</v>
      </c>
      <c r="B49" s="299"/>
      <c r="C49" s="299"/>
      <c r="D49" s="299"/>
      <c r="E49" s="299"/>
      <c r="F49" s="299"/>
      <c r="G49" s="299"/>
    </row>
    <row r="50" spans="1:7" ht="25.5">
      <c r="A50" s="60">
        <v>1</v>
      </c>
      <c r="B50" s="52" t="s">
        <v>281</v>
      </c>
      <c r="C50" s="48" t="s">
        <v>107</v>
      </c>
      <c r="D50" s="135">
        <f>D51+D53+D54+D55</f>
        <v>40397</v>
      </c>
      <c r="E50" s="135">
        <f>E51+E53+E54+E55</f>
        <v>40600</v>
      </c>
      <c r="F50" s="49">
        <v>32151</v>
      </c>
      <c r="G50" s="49">
        <v>32151</v>
      </c>
    </row>
    <row r="51" spans="1:7">
      <c r="A51" s="60" t="s">
        <v>28</v>
      </c>
      <c r="B51" s="52" t="s">
        <v>282</v>
      </c>
      <c r="C51" s="48" t="s">
        <v>107</v>
      </c>
      <c r="D51" s="135">
        <v>39981</v>
      </c>
      <c r="E51" s="135">
        <v>40179</v>
      </c>
      <c r="F51" s="49">
        <v>31773</v>
      </c>
      <c r="G51" s="49">
        <v>31773</v>
      </c>
    </row>
    <row r="52" spans="1:7" ht="25.5">
      <c r="A52" s="60" t="s">
        <v>30</v>
      </c>
      <c r="B52" s="52" t="s">
        <v>283</v>
      </c>
      <c r="C52" s="48" t="s">
        <v>107</v>
      </c>
      <c r="D52" s="135">
        <v>39981</v>
      </c>
      <c r="E52" s="135">
        <v>40179</v>
      </c>
      <c r="F52" s="49">
        <v>0</v>
      </c>
      <c r="G52" s="49">
        <v>0</v>
      </c>
    </row>
    <row r="53" spans="1:7">
      <c r="A53" s="60" t="s">
        <v>70</v>
      </c>
      <c r="B53" s="52" t="s">
        <v>341</v>
      </c>
      <c r="C53" s="48" t="s">
        <v>107</v>
      </c>
      <c r="D53" s="135">
        <v>1</v>
      </c>
      <c r="E53" s="135">
        <v>1</v>
      </c>
      <c r="F53" s="49">
        <v>1</v>
      </c>
      <c r="G53" s="49">
        <v>1</v>
      </c>
    </row>
    <row r="54" spans="1:7">
      <c r="A54" s="60" t="s">
        <v>78</v>
      </c>
      <c r="B54" s="128" t="s">
        <v>149</v>
      </c>
      <c r="C54" s="48" t="s">
        <v>107</v>
      </c>
      <c r="D54" s="135">
        <v>49</v>
      </c>
      <c r="E54" s="135">
        <v>47</v>
      </c>
      <c r="F54" s="49">
        <v>49</v>
      </c>
      <c r="G54" s="49">
        <v>49</v>
      </c>
    </row>
    <row r="55" spans="1:7">
      <c r="A55" s="60" t="s">
        <v>78</v>
      </c>
      <c r="B55" s="52" t="s">
        <v>284</v>
      </c>
      <c r="C55" s="48" t="s">
        <v>107</v>
      </c>
      <c r="D55" s="135">
        <v>366</v>
      </c>
      <c r="E55" s="135">
        <v>373</v>
      </c>
      <c r="F55" s="49">
        <v>329</v>
      </c>
      <c r="G55" s="49">
        <v>329</v>
      </c>
    </row>
    <row r="56" spans="1:7" ht="25.5">
      <c r="A56" s="60">
        <v>2</v>
      </c>
      <c r="B56" s="52" t="s">
        <v>257</v>
      </c>
      <c r="C56" s="48" t="s">
        <v>258</v>
      </c>
      <c r="D56" s="49">
        <v>5</v>
      </c>
      <c r="E56" s="49">
        <v>6</v>
      </c>
      <c r="F56" s="49">
        <v>5.09</v>
      </c>
      <c r="G56" s="49">
        <v>5.09</v>
      </c>
    </row>
    <row r="57" spans="1:7" ht="25.5">
      <c r="A57" s="60">
        <v>3</v>
      </c>
      <c r="B57" s="52" t="s">
        <v>259</v>
      </c>
      <c r="C57" s="48" t="s">
        <v>260</v>
      </c>
      <c r="D57" s="49">
        <v>5100</v>
      </c>
      <c r="E57" s="49">
        <v>5125</v>
      </c>
      <c r="F57" s="49">
        <v>4773.41</v>
      </c>
      <c r="G57" s="49">
        <v>4773.41</v>
      </c>
    </row>
    <row r="58" spans="1:7" ht="25.5">
      <c r="A58" s="60">
        <v>4</v>
      </c>
      <c r="B58" s="52" t="s">
        <v>285</v>
      </c>
      <c r="C58" s="48" t="s">
        <v>27</v>
      </c>
      <c r="D58" s="49">
        <v>223724</v>
      </c>
      <c r="E58" s="49">
        <v>221241</v>
      </c>
      <c r="F58" s="49">
        <v>323649.14</v>
      </c>
      <c r="G58" s="49">
        <v>323649.14</v>
      </c>
    </row>
    <row r="59" spans="1:7">
      <c r="A59" s="60" t="s">
        <v>37</v>
      </c>
      <c r="B59" s="52" t="s">
        <v>286</v>
      </c>
      <c r="C59" s="48" t="s">
        <v>27</v>
      </c>
      <c r="D59" s="49">
        <v>205715</v>
      </c>
      <c r="E59" s="49">
        <v>199408</v>
      </c>
      <c r="F59" s="49">
        <v>284901.65000000002</v>
      </c>
      <c r="G59" s="49">
        <v>284901.65000000002</v>
      </c>
    </row>
    <row r="60" spans="1:7" ht="25.5">
      <c r="A60" s="60" t="s">
        <v>287</v>
      </c>
      <c r="B60" s="52" t="s">
        <v>288</v>
      </c>
      <c r="C60" s="48" t="s">
        <v>27</v>
      </c>
      <c r="D60" s="135">
        <v>136484</v>
      </c>
      <c r="E60" s="135">
        <v>177694</v>
      </c>
      <c r="F60" s="49">
        <v>152941.1</v>
      </c>
      <c r="G60" s="49">
        <v>152941.1</v>
      </c>
    </row>
    <row r="61" spans="1:7" ht="25.5">
      <c r="A61" s="60" t="s">
        <v>183</v>
      </c>
      <c r="B61" s="52" t="s">
        <v>289</v>
      </c>
      <c r="C61" s="48" t="s">
        <v>27</v>
      </c>
      <c r="D61" s="135">
        <v>0</v>
      </c>
      <c r="E61" s="135">
        <v>0</v>
      </c>
      <c r="F61" s="49">
        <v>0</v>
      </c>
      <c r="G61" s="49">
        <v>0</v>
      </c>
    </row>
    <row r="62" spans="1:7" ht="25.5">
      <c r="A62" s="60" t="s">
        <v>290</v>
      </c>
      <c r="B62" s="52" t="s">
        <v>288</v>
      </c>
      <c r="C62" s="48" t="s">
        <v>27</v>
      </c>
      <c r="D62" s="135">
        <v>0</v>
      </c>
      <c r="E62" s="135">
        <v>0</v>
      </c>
      <c r="F62" s="49">
        <v>0</v>
      </c>
      <c r="G62" s="49">
        <v>0</v>
      </c>
    </row>
    <row r="63" spans="1:7">
      <c r="A63" s="60" t="s">
        <v>291</v>
      </c>
      <c r="B63" s="52" t="s">
        <v>341</v>
      </c>
      <c r="C63" s="48" t="s">
        <v>27</v>
      </c>
      <c r="D63" s="49"/>
      <c r="E63" s="134"/>
      <c r="F63" s="49"/>
      <c r="G63" s="49"/>
    </row>
    <row r="64" spans="1:7" ht="25.5">
      <c r="A64" s="60" t="s">
        <v>292</v>
      </c>
      <c r="B64" s="52" t="s">
        <v>288</v>
      </c>
      <c r="C64" s="48" t="s">
        <v>27</v>
      </c>
      <c r="D64" s="135"/>
      <c r="E64" s="135"/>
      <c r="F64" s="49"/>
      <c r="G64" s="49"/>
    </row>
    <row r="65" spans="1:7">
      <c r="A65" s="60" t="s">
        <v>293</v>
      </c>
      <c r="B65" s="128" t="s">
        <v>149</v>
      </c>
      <c r="C65" s="48" t="s">
        <v>27</v>
      </c>
      <c r="D65" s="49">
        <v>13341</v>
      </c>
      <c r="E65" s="134">
        <v>15746</v>
      </c>
      <c r="F65" s="49">
        <v>25439.26</v>
      </c>
      <c r="G65" s="49">
        <v>25439.26</v>
      </c>
    </row>
    <row r="66" spans="1:7" ht="25.5">
      <c r="A66" s="60" t="s">
        <v>342</v>
      </c>
      <c r="B66" s="128" t="s">
        <v>288</v>
      </c>
      <c r="C66" s="48" t="s">
        <v>27</v>
      </c>
      <c r="D66" s="135">
        <v>8423</v>
      </c>
      <c r="E66" s="135">
        <v>12746</v>
      </c>
      <c r="F66" s="49">
        <v>15804.32</v>
      </c>
      <c r="G66" s="49">
        <v>15804.32</v>
      </c>
    </row>
    <row r="67" spans="1:7">
      <c r="A67" s="60" t="s">
        <v>343</v>
      </c>
      <c r="B67" s="52" t="s">
        <v>151</v>
      </c>
      <c r="C67" s="48" t="s">
        <v>27</v>
      </c>
      <c r="D67" s="49">
        <v>4668</v>
      </c>
      <c r="E67" s="134">
        <v>6088</v>
      </c>
      <c r="F67" s="49">
        <v>13308.23</v>
      </c>
      <c r="G67" s="49">
        <v>13308.23</v>
      </c>
    </row>
    <row r="68" spans="1:7" ht="25.5">
      <c r="A68" s="60" t="s">
        <v>344</v>
      </c>
      <c r="B68" s="52" t="s">
        <v>288</v>
      </c>
      <c r="C68" s="48" t="s">
        <v>27</v>
      </c>
      <c r="D68" s="135">
        <v>3486</v>
      </c>
      <c r="E68" s="135">
        <v>5681</v>
      </c>
      <c r="F68" s="49">
        <v>9642.8799999999992</v>
      </c>
      <c r="G68" s="49">
        <v>9642.8799999999992</v>
      </c>
    </row>
    <row r="69" spans="1:7" ht="25.5">
      <c r="A69" s="60">
        <v>5</v>
      </c>
      <c r="B69" s="52" t="s">
        <v>261</v>
      </c>
      <c r="C69" s="48" t="s">
        <v>58</v>
      </c>
      <c r="D69" s="134">
        <v>306</v>
      </c>
      <c r="E69" s="134">
        <v>369</v>
      </c>
      <c r="F69" s="49">
        <v>291.56</v>
      </c>
      <c r="G69" s="49">
        <v>291.56</v>
      </c>
    </row>
    <row r="70" spans="1:7" ht="38.25">
      <c r="A70" s="60">
        <v>6</v>
      </c>
      <c r="B70" s="52" t="s">
        <v>262</v>
      </c>
      <c r="C70" s="48" t="s">
        <v>58</v>
      </c>
      <c r="D70" s="134">
        <v>0</v>
      </c>
      <c r="E70" s="134">
        <v>0</v>
      </c>
      <c r="F70" s="49">
        <v>0</v>
      </c>
      <c r="G70" s="49">
        <v>0</v>
      </c>
    </row>
    <row r="71" spans="1:7">
      <c r="A71" s="60" t="s">
        <v>44</v>
      </c>
      <c r="B71" s="52" t="s">
        <v>263</v>
      </c>
      <c r="C71" s="48" t="s">
        <v>58</v>
      </c>
      <c r="D71" s="135">
        <v>0</v>
      </c>
      <c r="E71" s="135">
        <v>0</v>
      </c>
      <c r="F71" s="135">
        <v>0</v>
      </c>
      <c r="G71" s="135">
        <v>0</v>
      </c>
    </row>
    <row r="72" spans="1:7" ht="25.5">
      <c r="A72" s="60">
        <v>7</v>
      </c>
      <c r="B72" s="52" t="s">
        <v>264</v>
      </c>
      <c r="C72" s="48" t="s">
        <v>58</v>
      </c>
      <c r="D72" s="134">
        <v>4</v>
      </c>
      <c r="E72" s="134">
        <v>4</v>
      </c>
      <c r="F72" s="135">
        <v>4.0999999999999996</v>
      </c>
      <c r="G72" s="135">
        <v>4.0999999999999996</v>
      </c>
    </row>
    <row r="73" spans="1:7" ht="25.5">
      <c r="A73" s="60">
        <v>8</v>
      </c>
      <c r="B73" s="52" t="s">
        <v>265</v>
      </c>
      <c r="C73" s="48" t="s">
        <v>58</v>
      </c>
      <c r="D73" s="134">
        <v>4</v>
      </c>
      <c r="E73" s="134">
        <v>6</v>
      </c>
      <c r="F73" s="135">
        <v>3.5</v>
      </c>
      <c r="G73" s="135">
        <v>3.5</v>
      </c>
    </row>
    <row r="74" spans="1:7">
      <c r="A74" s="57" t="s">
        <v>294</v>
      </c>
    </row>
    <row r="76" spans="1:7">
      <c r="B76" s="61" t="s">
        <v>154</v>
      </c>
      <c r="C76" s="300" t="s">
        <v>155</v>
      </c>
      <c r="D76" s="300"/>
      <c r="E76" s="300"/>
      <c r="F76" s="300" t="s">
        <v>155</v>
      </c>
      <c r="G76" s="300"/>
    </row>
    <row r="77" spans="1:7">
      <c r="B77" s="62" t="s">
        <v>8</v>
      </c>
      <c r="C77" s="301" t="s">
        <v>156</v>
      </c>
      <c r="D77" s="301"/>
      <c r="E77" s="301"/>
      <c r="F77" s="301" t="s">
        <v>157</v>
      </c>
      <c r="G77" s="301"/>
    </row>
  </sheetData>
  <mergeCells count="13">
    <mergeCell ref="J15:K15"/>
    <mergeCell ref="A8:G8"/>
    <mergeCell ref="E1:G1"/>
    <mergeCell ref="B2:F2"/>
    <mergeCell ref="B3:F3"/>
    <mergeCell ref="B4:F4"/>
    <mergeCell ref="F5:G5"/>
    <mergeCell ref="A25:G25"/>
    <mergeCell ref="A49:G49"/>
    <mergeCell ref="C76:E76"/>
    <mergeCell ref="F76:G76"/>
    <mergeCell ref="C77:E77"/>
    <mergeCell ref="F77:G77"/>
  </mergeCells>
  <conditionalFormatting sqref="B3:F3">
    <cfRule type="cellIs" dxfId="1" priority="1" operator="equal">
      <formula>0</formula>
    </cfRule>
  </conditionalFormatting>
  <printOptions horizontalCentered="1"/>
  <pageMargins left="0.23622047244094491" right="0.23622047244094491" top="0.23622047244094491" bottom="0.31496062992125984" header="0.31496062992125984" footer="0.31496062992125984"/>
  <pageSetup paperSize="9"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A1:H51"/>
  <sheetViews>
    <sheetView view="pageBreakPreview" zoomScaleSheetLayoutView="100" workbookViewId="0">
      <pane ySplit="8" topLeftCell="A9" activePane="bottomLeft" state="frozen"/>
      <selection activeCell="E13" sqref="E13"/>
      <selection pane="bottomLeft" activeCell="H9" sqref="H9"/>
    </sheetView>
  </sheetViews>
  <sheetFormatPr defaultRowHeight="15"/>
  <cols>
    <col min="1" max="1" width="5.5703125" style="63" customWidth="1"/>
    <col min="2" max="2" width="39.140625" style="50" customWidth="1"/>
    <col min="3" max="3" width="9.140625" style="50"/>
    <col min="4" max="8" width="11.7109375" style="50" customWidth="1"/>
    <col min="9" max="26" width="2.85546875" style="50" customWidth="1"/>
    <col min="27" max="16384" width="9.140625" style="50"/>
  </cols>
  <sheetData>
    <row r="1" spans="1:8" ht="61.5" customHeight="1">
      <c r="A1" s="120"/>
      <c r="B1" s="121"/>
      <c r="C1" s="121"/>
      <c r="D1" s="121"/>
      <c r="E1" s="315" t="s">
        <v>295</v>
      </c>
      <c r="F1" s="315"/>
      <c r="G1" s="315"/>
      <c r="H1" s="315"/>
    </row>
    <row r="2" spans="1:8" ht="17.25" customHeight="1">
      <c r="A2" s="120"/>
      <c r="B2" s="316" t="s">
        <v>296</v>
      </c>
      <c r="C2" s="317"/>
      <c r="D2" s="317"/>
      <c r="E2" s="317"/>
      <c r="F2" s="317"/>
      <c r="G2" s="122"/>
      <c r="H2" s="121"/>
    </row>
    <row r="3" spans="1:8">
      <c r="A3" s="120"/>
      <c r="B3" s="318" t="str">
        <f>Д3!D3</f>
        <v>Комунальне підприємство Броварської міської ради Київської області "Броваритепловодоенергія"</v>
      </c>
      <c r="C3" s="318"/>
      <c r="D3" s="318"/>
      <c r="E3" s="318"/>
      <c r="F3" s="318"/>
      <c r="G3" s="123"/>
      <c r="H3" s="121"/>
    </row>
    <row r="4" spans="1:8">
      <c r="A4" s="120"/>
      <c r="B4" s="319" t="s">
        <v>50</v>
      </c>
      <c r="C4" s="319"/>
      <c r="D4" s="319"/>
      <c r="E4" s="319"/>
      <c r="F4" s="319"/>
      <c r="G4" s="124"/>
      <c r="H4" s="121"/>
    </row>
    <row r="5" spans="1:8">
      <c r="A5" s="120"/>
      <c r="B5" s="121"/>
      <c r="C5" s="121"/>
      <c r="D5" s="121"/>
      <c r="E5" s="121"/>
      <c r="F5" s="320" t="s">
        <v>216</v>
      </c>
      <c r="G5" s="320"/>
      <c r="H5" s="320"/>
    </row>
    <row r="6" spans="1:8" ht="22.5" customHeight="1">
      <c r="A6" s="321" t="s">
        <v>10</v>
      </c>
      <c r="B6" s="322" t="s">
        <v>297</v>
      </c>
      <c r="C6" s="323" t="s">
        <v>52</v>
      </c>
      <c r="D6" s="325" t="s">
        <v>298</v>
      </c>
      <c r="E6" s="322" t="s">
        <v>299</v>
      </c>
      <c r="F6" s="322"/>
      <c r="G6" s="322"/>
      <c r="H6" s="322"/>
    </row>
    <row r="7" spans="1:8" ht="32.25" customHeight="1">
      <c r="A7" s="321"/>
      <c r="B7" s="322"/>
      <c r="C7" s="324"/>
      <c r="D7" s="326"/>
      <c r="E7" s="125" t="s">
        <v>3</v>
      </c>
      <c r="F7" s="125" t="s">
        <v>330</v>
      </c>
      <c r="G7" s="125" t="s">
        <v>300</v>
      </c>
      <c r="H7" s="125" t="s">
        <v>284</v>
      </c>
    </row>
    <row r="8" spans="1:8" s="64" customFormat="1">
      <c r="A8" s="126">
        <v>1</v>
      </c>
      <c r="B8" s="127">
        <v>2</v>
      </c>
      <c r="C8" s="127">
        <v>3</v>
      </c>
      <c r="D8" s="127">
        <v>4</v>
      </c>
      <c r="E8" s="127">
        <v>5</v>
      </c>
      <c r="F8" s="127">
        <v>6</v>
      </c>
      <c r="G8" s="127">
        <v>7</v>
      </c>
      <c r="H8" s="127">
        <v>8</v>
      </c>
    </row>
    <row r="9" spans="1:8" ht="25.5">
      <c r="A9" s="150">
        <v>1</v>
      </c>
      <c r="B9" s="128" t="s">
        <v>301</v>
      </c>
      <c r="C9" s="125" t="s">
        <v>27</v>
      </c>
      <c r="D9" s="119">
        <f>Д2!F27</f>
        <v>323649.14</v>
      </c>
      <c r="E9" s="119">
        <f>Д2!F28</f>
        <v>284901.65000000002</v>
      </c>
      <c r="F9" s="119">
        <f>Д2!F30</f>
        <v>0</v>
      </c>
      <c r="G9" s="129">
        <f>Д2!F32</f>
        <v>25439.26</v>
      </c>
      <c r="H9" s="119">
        <f>Д2!F34</f>
        <v>13308.23</v>
      </c>
    </row>
    <row r="10" spans="1:8" ht="25.5">
      <c r="A10" s="150">
        <v>2</v>
      </c>
      <c r="B10" s="128" t="s">
        <v>302</v>
      </c>
      <c r="C10" s="125" t="s">
        <v>43</v>
      </c>
      <c r="D10" s="130">
        <f>Д2!F36</f>
        <v>156.72999999999999</v>
      </c>
      <c r="E10" s="130">
        <f>Д2!F37</f>
        <v>136.54</v>
      </c>
      <c r="F10" s="130">
        <f>Д2!F38</f>
        <v>0</v>
      </c>
      <c r="G10" s="130">
        <f>Д2!F39</f>
        <v>13.08</v>
      </c>
      <c r="H10" s="130">
        <f>Д2!F40</f>
        <v>7.12</v>
      </c>
    </row>
    <row r="11" spans="1:8">
      <c r="A11" s="311" t="s">
        <v>0</v>
      </c>
      <c r="B11" s="312"/>
      <c r="C11" s="312"/>
      <c r="D11" s="312"/>
      <c r="E11" s="312"/>
      <c r="F11" s="312"/>
      <c r="G11" s="312"/>
      <c r="H11" s="313"/>
    </row>
    <row r="12" spans="1:8" ht="25.5">
      <c r="A12" s="150">
        <v>3</v>
      </c>
      <c r="B12" s="128" t="s">
        <v>470</v>
      </c>
      <c r="C12" s="125" t="s">
        <v>58</v>
      </c>
      <c r="D12" s="131"/>
      <c r="E12" s="131"/>
      <c r="F12" s="131"/>
      <c r="G12" s="131"/>
      <c r="H12" s="131"/>
    </row>
    <row r="13" spans="1:8">
      <c r="A13" s="150" t="s">
        <v>89</v>
      </c>
      <c r="B13" s="128" t="s">
        <v>471</v>
      </c>
      <c r="C13" s="125" t="s">
        <v>58</v>
      </c>
      <c r="D13" s="132"/>
      <c r="E13" s="132"/>
      <c r="F13" s="132"/>
      <c r="G13" s="132"/>
      <c r="H13" s="132"/>
    </row>
    <row r="14" spans="1:8">
      <c r="A14" s="150" t="s">
        <v>303</v>
      </c>
      <c r="B14" s="128" t="s">
        <v>432</v>
      </c>
      <c r="C14" s="125" t="s">
        <v>58</v>
      </c>
      <c r="D14" s="132"/>
      <c r="E14" s="132"/>
      <c r="F14" s="132"/>
      <c r="G14" s="132"/>
      <c r="H14" s="132"/>
    </row>
    <row r="15" spans="1:8" ht="25.5">
      <c r="A15" s="150" t="s">
        <v>304</v>
      </c>
      <c r="B15" s="128" t="s">
        <v>433</v>
      </c>
      <c r="C15" s="125" t="s">
        <v>58</v>
      </c>
      <c r="D15" s="132"/>
      <c r="E15" s="132"/>
      <c r="F15" s="132"/>
      <c r="G15" s="132"/>
      <c r="H15" s="132"/>
    </row>
    <row r="16" spans="1:8">
      <c r="A16" s="150" t="s">
        <v>305</v>
      </c>
      <c r="B16" s="128" t="s">
        <v>434</v>
      </c>
      <c r="C16" s="125" t="s">
        <v>58</v>
      </c>
      <c r="D16" s="132"/>
      <c r="E16" s="132"/>
      <c r="F16" s="132"/>
      <c r="G16" s="132"/>
      <c r="H16" s="132"/>
    </row>
    <row r="17" spans="1:8" ht="38.25">
      <c r="A17" s="150" t="s">
        <v>90</v>
      </c>
      <c r="B17" s="128" t="s">
        <v>306</v>
      </c>
      <c r="C17" s="125" t="s">
        <v>58</v>
      </c>
      <c r="D17" s="132"/>
      <c r="E17" s="132"/>
      <c r="F17" s="132"/>
      <c r="G17" s="132"/>
      <c r="H17" s="132"/>
    </row>
    <row r="18" spans="1:8">
      <c r="A18" s="150" t="s">
        <v>379</v>
      </c>
      <c r="B18" s="128" t="s">
        <v>382</v>
      </c>
      <c r="C18" s="125" t="s">
        <v>58</v>
      </c>
      <c r="D18" s="132"/>
      <c r="E18" s="132"/>
      <c r="F18" s="132"/>
      <c r="G18" s="132"/>
      <c r="H18" s="132"/>
    </row>
    <row r="19" spans="1:8" ht="38.25">
      <c r="A19" s="150" t="s">
        <v>345</v>
      </c>
      <c r="B19" s="128" t="s">
        <v>439</v>
      </c>
      <c r="C19" s="125" t="s">
        <v>58</v>
      </c>
      <c r="D19" s="132"/>
      <c r="E19" s="132"/>
      <c r="F19" s="132"/>
      <c r="G19" s="132"/>
      <c r="H19" s="132"/>
    </row>
    <row r="20" spans="1:8" ht="25.5">
      <c r="A20" s="150" t="s">
        <v>347</v>
      </c>
      <c r="B20" s="128" t="s">
        <v>435</v>
      </c>
      <c r="C20" s="125" t="s">
        <v>105</v>
      </c>
      <c r="D20" s="132"/>
      <c r="E20" s="132"/>
      <c r="F20" s="132"/>
      <c r="G20" s="132"/>
      <c r="H20" s="132"/>
    </row>
    <row r="21" spans="1:8" ht="51">
      <c r="A21" s="150" t="s">
        <v>350</v>
      </c>
      <c r="B21" s="128" t="s">
        <v>472</v>
      </c>
      <c r="C21" s="125" t="s">
        <v>309</v>
      </c>
      <c r="D21" s="132"/>
      <c r="E21" s="132"/>
      <c r="F21" s="132"/>
      <c r="G21" s="132"/>
      <c r="H21" s="132"/>
    </row>
    <row r="22" spans="1:8" ht="25.5">
      <c r="A22" s="150" t="s">
        <v>93</v>
      </c>
      <c r="B22" s="128" t="s">
        <v>436</v>
      </c>
      <c r="C22" s="125" t="s">
        <v>309</v>
      </c>
      <c r="D22" s="132"/>
      <c r="E22" s="132"/>
      <c r="F22" s="132"/>
      <c r="G22" s="132"/>
      <c r="H22" s="132"/>
    </row>
    <row r="23" spans="1:8" ht="25.5">
      <c r="A23" s="150" t="s">
        <v>95</v>
      </c>
      <c r="B23" s="128" t="s">
        <v>437</v>
      </c>
      <c r="C23" s="125" t="s">
        <v>309</v>
      </c>
      <c r="D23" s="132"/>
      <c r="E23" s="132"/>
      <c r="F23" s="132"/>
      <c r="G23" s="132"/>
      <c r="H23" s="132"/>
    </row>
    <row r="24" spans="1:8" ht="25.5">
      <c r="A24" s="150" t="s">
        <v>97</v>
      </c>
      <c r="B24" s="128" t="s">
        <v>438</v>
      </c>
      <c r="C24" s="125" t="s">
        <v>309</v>
      </c>
      <c r="D24" s="132"/>
      <c r="E24" s="132"/>
      <c r="F24" s="132"/>
      <c r="G24" s="132"/>
      <c r="H24" s="132"/>
    </row>
    <row r="25" spans="1:8">
      <c r="A25" s="311" t="s">
        <v>1</v>
      </c>
      <c r="B25" s="312"/>
      <c r="C25" s="312"/>
      <c r="D25" s="312"/>
      <c r="E25" s="312"/>
      <c r="F25" s="312"/>
      <c r="G25" s="312"/>
      <c r="H25" s="313"/>
    </row>
    <row r="26" spans="1:8" ht="51">
      <c r="A26" s="150" t="s">
        <v>359</v>
      </c>
      <c r="B26" s="128" t="s">
        <v>307</v>
      </c>
      <c r="C26" s="125" t="s">
        <v>43</v>
      </c>
      <c r="D26" s="119"/>
      <c r="E26" s="119"/>
      <c r="F26" s="119"/>
      <c r="G26" s="119"/>
      <c r="H26" s="119"/>
    </row>
    <row r="27" spans="1:8" ht="38.25">
      <c r="A27" s="150" t="s">
        <v>440</v>
      </c>
      <c r="B27" s="128" t="s">
        <v>308</v>
      </c>
      <c r="C27" s="125" t="s">
        <v>58</v>
      </c>
      <c r="D27" s="131"/>
      <c r="E27" s="131"/>
      <c r="F27" s="131"/>
      <c r="G27" s="131"/>
      <c r="H27" s="131"/>
    </row>
    <row r="28" spans="1:8" ht="25.5">
      <c r="A28" s="150" t="s">
        <v>441</v>
      </c>
      <c r="B28" s="128" t="s">
        <v>442</v>
      </c>
      <c r="C28" s="125" t="s">
        <v>58</v>
      </c>
      <c r="D28" s="131"/>
      <c r="E28" s="131"/>
      <c r="F28" s="131"/>
      <c r="G28" s="131"/>
      <c r="H28" s="131"/>
    </row>
    <row r="29" spans="1:8" ht="25.5">
      <c r="A29" s="150" t="s">
        <v>444</v>
      </c>
      <c r="B29" s="128" t="s">
        <v>443</v>
      </c>
      <c r="C29" s="125" t="s">
        <v>58</v>
      </c>
      <c r="D29" s="131"/>
      <c r="E29" s="131"/>
      <c r="F29" s="131"/>
      <c r="G29" s="131"/>
      <c r="H29" s="131"/>
    </row>
    <row r="30" spans="1:8" ht="38.25">
      <c r="A30" s="150" t="s">
        <v>445</v>
      </c>
      <c r="B30" s="128" t="s">
        <v>446</v>
      </c>
      <c r="C30" s="125" t="s">
        <v>309</v>
      </c>
      <c r="D30" s="133"/>
      <c r="E30" s="133"/>
      <c r="F30" s="133"/>
      <c r="G30" s="133"/>
      <c r="H30" s="133"/>
    </row>
    <row r="31" spans="1:8" ht="25.5">
      <c r="A31" s="150" t="s">
        <v>142</v>
      </c>
      <c r="B31" s="128" t="s">
        <v>447</v>
      </c>
      <c r="C31" s="125" t="s">
        <v>309</v>
      </c>
      <c r="D31" s="119"/>
      <c r="E31" s="119"/>
      <c r="F31" s="119"/>
      <c r="G31" s="119"/>
      <c r="H31" s="119"/>
    </row>
    <row r="32" spans="1:8" ht="25.5">
      <c r="A32" s="150" t="s">
        <v>144</v>
      </c>
      <c r="B32" s="128" t="s">
        <v>448</v>
      </c>
      <c r="C32" s="125" t="s">
        <v>309</v>
      </c>
      <c r="D32" s="119"/>
      <c r="E32" s="119"/>
      <c r="F32" s="119"/>
      <c r="G32" s="119"/>
      <c r="H32" s="119"/>
    </row>
    <row r="33" spans="1:8" ht="25.5">
      <c r="A33" s="150" t="s">
        <v>146</v>
      </c>
      <c r="B33" s="128" t="s">
        <v>449</v>
      </c>
      <c r="C33" s="125" t="s">
        <v>309</v>
      </c>
      <c r="D33" s="119"/>
      <c r="E33" s="119"/>
      <c r="F33" s="119"/>
      <c r="G33" s="119"/>
      <c r="H33" s="119"/>
    </row>
    <row r="34" spans="1:8">
      <c r="A34" s="311" t="s">
        <v>2</v>
      </c>
      <c r="B34" s="312"/>
      <c r="C34" s="312"/>
      <c r="D34" s="312"/>
      <c r="E34" s="312"/>
      <c r="F34" s="312"/>
      <c r="G34" s="312"/>
      <c r="H34" s="313"/>
    </row>
    <row r="35" spans="1:8" ht="38.25">
      <c r="A35" s="150" t="s">
        <v>450</v>
      </c>
      <c r="B35" s="128" t="s">
        <v>310</v>
      </c>
      <c r="C35" s="125" t="s">
        <v>58</v>
      </c>
      <c r="D35" s="131"/>
      <c r="E35" s="131"/>
      <c r="F35" s="131"/>
      <c r="G35" s="131"/>
      <c r="H35" s="131"/>
    </row>
    <row r="36" spans="1:8" ht="25.5">
      <c r="A36" s="150" t="s">
        <v>451</v>
      </c>
      <c r="B36" s="128" t="s">
        <v>442</v>
      </c>
      <c r="C36" s="125" t="s">
        <v>58</v>
      </c>
      <c r="D36" s="131"/>
      <c r="E36" s="131"/>
      <c r="F36" s="131"/>
      <c r="G36" s="131"/>
      <c r="H36" s="131"/>
    </row>
    <row r="37" spans="1:8" ht="25.5">
      <c r="A37" s="150" t="s">
        <v>452</v>
      </c>
      <c r="B37" s="128" t="s">
        <v>311</v>
      </c>
      <c r="C37" s="125" t="s">
        <v>58</v>
      </c>
      <c r="D37" s="131"/>
      <c r="E37" s="131"/>
      <c r="F37" s="131"/>
      <c r="G37" s="131"/>
      <c r="H37" s="131"/>
    </row>
    <row r="38" spans="1:8" ht="38.25">
      <c r="A38" s="150" t="s">
        <v>453</v>
      </c>
      <c r="B38" s="128" t="s">
        <v>473</v>
      </c>
      <c r="C38" s="125" t="s">
        <v>312</v>
      </c>
      <c r="D38" s="133"/>
      <c r="E38" s="133"/>
      <c r="F38" s="133"/>
      <c r="G38" s="133"/>
      <c r="H38" s="133"/>
    </row>
    <row r="39" spans="1:8" ht="25.5">
      <c r="A39" s="150" t="s">
        <v>454</v>
      </c>
      <c r="B39" s="128" t="s">
        <v>457</v>
      </c>
      <c r="C39" s="125" t="s">
        <v>312</v>
      </c>
      <c r="D39" s="119"/>
      <c r="E39" s="119"/>
      <c r="F39" s="119"/>
      <c r="G39" s="119"/>
      <c r="H39" s="119"/>
    </row>
    <row r="40" spans="1:8" ht="25.5">
      <c r="A40" s="150" t="s">
        <v>455</v>
      </c>
      <c r="B40" s="128" t="s">
        <v>458</v>
      </c>
      <c r="C40" s="125" t="s">
        <v>312</v>
      </c>
      <c r="D40" s="119"/>
      <c r="E40" s="119"/>
      <c r="F40" s="119"/>
      <c r="G40" s="119"/>
      <c r="H40" s="119"/>
    </row>
    <row r="41" spans="1:8" ht="25.5">
      <c r="A41" s="150" t="s">
        <v>456</v>
      </c>
      <c r="B41" s="128" t="s">
        <v>459</v>
      </c>
      <c r="C41" s="125" t="s">
        <v>312</v>
      </c>
      <c r="D41" s="119"/>
      <c r="E41" s="119"/>
      <c r="F41" s="119"/>
      <c r="G41" s="119"/>
      <c r="H41" s="119"/>
    </row>
    <row r="42" spans="1:8" ht="15" customHeight="1">
      <c r="A42" s="311" t="s">
        <v>313</v>
      </c>
      <c r="B42" s="312"/>
      <c r="C42" s="312"/>
      <c r="D42" s="312"/>
      <c r="E42" s="312"/>
      <c r="F42" s="312"/>
      <c r="G42" s="312"/>
      <c r="H42" s="313"/>
    </row>
    <row r="43" spans="1:8" ht="25.5">
      <c r="A43" s="150" t="s">
        <v>461</v>
      </c>
      <c r="B43" s="128" t="s">
        <v>460</v>
      </c>
      <c r="C43" s="125" t="s">
        <v>105</v>
      </c>
      <c r="D43" s="132"/>
      <c r="E43" s="132"/>
      <c r="F43" s="132"/>
      <c r="G43" s="132"/>
      <c r="H43" s="132"/>
    </row>
    <row r="44" spans="1:8" ht="63.75">
      <c r="A44" s="150" t="s">
        <v>462</v>
      </c>
      <c r="B44" s="128" t="s">
        <v>466</v>
      </c>
      <c r="C44" s="125" t="s">
        <v>312</v>
      </c>
      <c r="D44" s="132"/>
      <c r="E44" s="132"/>
      <c r="F44" s="132"/>
      <c r="G44" s="132"/>
      <c r="H44" s="132"/>
    </row>
    <row r="45" spans="1:8" ht="25.5">
      <c r="A45" s="150" t="s">
        <v>463</v>
      </c>
      <c r="B45" s="128" t="s">
        <v>467</v>
      </c>
      <c r="C45" s="125" t="s">
        <v>312</v>
      </c>
      <c r="D45" s="132"/>
      <c r="E45" s="132"/>
      <c r="F45" s="132"/>
      <c r="G45" s="132"/>
      <c r="H45" s="132"/>
    </row>
    <row r="46" spans="1:8" ht="25.5">
      <c r="A46" s="150" t="s">
        <v>464</v>
      </c>
      <c r="B46" s="128" t="s">
        <v>468</v>
      </c>
      <c r="C46" s="125" t="s">
        <v>312</v>
      </c>
      <c r="D46" s="132"/>
      <c r="E46" s="132"/>
      <c r="F46" s="132"/>
      <c r="G46" s="132"/>
      <c r="H46" s="132"/>
    </row>
    <row r="47" spans="1:8" ht="25.5">
      <c r="A47" s="150" t="s">
        <v>465</v>
      </c>
      <c r="B47" s="128" t="s">
        <v>469</v>
      </c>
      <c r="C47" s="125" t="s">
        <v>312</v>
      </c>
      <c r="D47" s="132"/>
      <c r="E47" s="132"/>
      <c r="F47" s="132"/>
      <c r="G47" s="132"/>
      <c r="H47" s="132"/>
    </row>
    <row r="49" spans="1:8">
      <c r="A49" s="57"/>
      <c r="B49" s="61" t="s">
        <v>154</v>
      </c>
      <c r="C49" s="314" t="s">
        <v>155</v>
      </c>
      <c r="D49" s="314"/>
      <c r="E49" s="314"/>
      <c r="F49" s="300" t="s">
        <v>155</v>
      </c>
      <c r="G49" s="300"/>
      <c r="H49" s="300"/>
    </row>
    <row r="50" spans="1:8">
      <c r="A50" s="57"/>
      <c r="B50" s="62" t="s">
        <v>8</v>
      </c>
      <c r="C50" s="310" t="s">
        <v>314</v>
      </c>
      <c r="D50" s="310"/>
      <c r="E50" s="310"/>
      <c r="F50" s="301" t="s">
        <v>157</v>
      </c>
      <c r="G50" s="301"/>
      <c r="H50" s="301"/>
    </row>
    <row r="51" spans="1:8">
      <c r="B51" s="62"/>
      <c r="C51" s="301"/>
      <c r="D51" s="301"/>
      <c r="E51" s="301"/>
      <c r="F51" s="301"/>
      <c r="G51" s="301"/>
      <c r="H51" s="301"/>
    </row>
  </sheetData>
  <mergeCells count="20">
    <mergeCell ref="A6:A7"/>
    <mergeCell ref="B6:B7"/>
    <mergeCell ref="C6:C7"/>
    <mergeCell ref="D6:D7"/>
    <mergeCell ref="E6:H6"/>
    <mergeCell ref="E1:H1"/>
    <mergeCell ref="B2:F2"/>
    <mergeCell ref="B3:F3"/>
    <mergeCell ref="B4:F4"/>
    <mergeCell ref="F5:H5"/>
    <mergeCell ref="C50:E50"/>
    <mergeCell ref="F50:H50"/>
    <mergeCell ref="C51:E51"/>
    <mergeCell ref="F51:H51"/>
    <mergeCell ref="A11:H11"/>
    <mergeCell ref="A25:H25"/>
    <mergeCell ref="A34:H34"/>
    <mergeCell ref="C49:E49"/>
    <mergeCell ref="F49:H49"/>
    <mergeCell ref="A42:H42"/>
  </mergeCells>
  <conditionalFormatting sqref="B3:G3">
    <cfRule type="cellIs" dxfId="0" priority="1" operator="equal">
      <formula>0</formula>
    </cfRule>
  </conditionalFormatting>
  <printOptions horizontalCentered="1"/>
  <pageMargins left="0.23622047244094491" right="0.23622047244094491" top="0.23622047244094491" bottom="0.31496062992125984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Д2</vt:lpstr>
      <vt:lpstr>Д3</vt:lpstr>
      <vt:lpstr>Д4</vt:lpstr>
      <vt:lpstr>Д5</vt:lpstr>
      <vt:lpstr>Д6</vt:lpstr>
      <vt:lpstr>Д7</vt:lpstr>
      <vt:lpstr>Д8</vt:lpstr>
      <vt:lpstr>Д9</vt:lpstr>
      <vt:lpstr>Д10</vt:lpstr>
      <vt:lpstr>Лист6</vt:lpstr>
      <vt:lpstr>Д10!Заголовки_для_печати</vt:lpstr>
      <vt:lpstr>Д3!Заголовки_для_печати</vt:lpstr>
      <vt:lpstr>Д9!Заголовки_для_печати</vt:lpstr>
      <vt:lpstr>Д2!Область_печати</vt:lpstr>
      <vt:lpstr>Д3!Область_печати</vt:lpstr>
      <vt:lpstr>Д4!Область_печати</vt:lpstr>
      <vt:lpstr>Д5!Область_печати</vt:lpstr>
      <vt:lpstr>Д6!Область_печати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2017-08-17T12:17:55Z</dcterms:modified>
</cp:coreProperties>
</file>